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codeName="ThisWorkbook" defaultThemeVersion="124226"/>
  <mc:AlternateContent xmlns:mc="http://schemas.openxmlformats.org/markup-compatibility/2006">
    <mc:Choice Requires="x15">
      <x15ac:absPath xmlns:x15ac="http://schemas.microsoft.com/office/spreadsheetml/2010/11/ac" url="L:\Public Finance\Miscellaneous\Presentations\Levy Workshops\2023\"/>
    </mc:Choice>
  </mc:AlternateContent>
  <xr:revisionPtr revIDLastSave="0" documentId="13_ncr:1_{F0FC8991-A554-4D16-A003-4FF810F6684E}" xr6:coauthVersionLast="47" xr6:coauthVersionMax="47" xr10:uidLastSave="{00000000-0000-0000-0000-000000000000}"/>
  <bookViews>
    <workbookView xWindow="28680" yWindow="-120" windowWidth="29040" windowHeight="15990" activeTab="6"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0" r:id="rId6"/>
    <sheet name="Extension" sheetId="17" r:id="rId7"/>
    <sheet name="Tax Calculator - Extension" sheetId="21" r:id="rId8"/>
    <sheet name="InfoPage" sheetId="3" state="hidden" r:id="rId9"/>
  </sheets>
  <externalReferences>
    <externalReference r:id="rId10"/>
  </externalReferences>
  <definedNames>
    <definedName name="_xlnm.Print_Area" localSheetId="3">Calculations!$A$1:$L$37</definedName>
    <definedName name="_xlnm.Print_Area" localSheetId="6">Extension!$A$1:$N$38</definedName>
    <definedName name="_xlnm.Print_Area" localSheetId="2">Input!$A$3:$H$65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1" i="17" l="1"/>
  <c r="E41" i="5"/>
  <c r="A14" i="21"/>
  <c r="A23" i="21"/>
  <c r="A21" i="21"/>
  <c r="A13" i="21"/>
  <c r="A12" i="21"/>
  <c r="A10" i="21"/>
  <c r="A9" i="21"/>
  <c r="A7" i="21"/>
  <c r="A6" i="21"/>
  <c r="A2" i="21"/>
  <c r="A2" i="20"/>
  <c r="A21" i="20"/>
  <c r="A14" i="20"/>
  <c r="A13" i="20"/>
  <c r="A12" i="20"/>
  <c r="A10" i="20"/>
  <c r="A9" i="20"/>
  <c r="A7" i="20"/>
  <c r="A6" i="20"/>
  <c r="M14" i="21" l="1"/>
  <c r="M13" i="21"/>
  <c r="N10" i="21"/>
  <c r="L18" i="21"/>
  <c r="L8" i="21"/>
  <c r="L6" i="21"/>
  <c r="L6" i="20"/>
  <c r="L8" i="20"/>
  <c r="L18" i="20"/>
  <c r="I20" i="21"/>
  <c r="B9" i="21"/>
  <c r="B6" i="21"/>
  <c r="M8" i="21" s="1"/>
  <c r="Z9" i="21"/>
  <c r="Y9" i="21"/>
  <c r="Z8" i="21"/>
  <c r="Z7" i="21"/>
  <c r="I20" i="20"/>
  <c r="N11" i="21" l="1"/>
  <c r="B7" i="21"/>
  <c r="B10" i="21" s="1"/>
  <c r="B14" i="21" s="1"/>
  <c r="M10" i="21"/>
  <c r="M11" i="21" s="1"/>
  <c r="M16" i="21" s="1"/>
  <c r="B19" i="21" l="1"/>
  <c r="M14" i="20"/>
  <c r="M13" i="20"/>
  <c r="N11" i="20"/>
  <c r="N10" i="20"/>
  <c r="B21" i="21" l="1"/>
  <c r="B9" i="20"/>
  <c r="B6" i="20"/>
  <c r="B7" i="20" s="1"/>
  <c r="A23" i="20"/>
  <c r="Y9" i="20"/>
  <c r="E55" i="5"/>
  <c r="H55" i="5"/>
  <c r="G55" i="5"/>
  <c r="F55" i="5"/>
  <c r="B26" i="5"/>
  <c r="D24" i="5"/>
  <c r="D46" i="5"/>
  <c r="B10" i="20" l="1"/>
  <c r="M8" i="20"/>
  <c r="M10" i="20" s="1"/>
  <c r="M11" i="20" s="1"/>
  <c r="M16" i="20" s="1"/>
  <c r="G31" i="9"/>
  <c r="B14" i="20" l="1"/>
  <c r="B19" i="20"/>
  <c r="C23" i="9"/>
  <c r="C24" i="9"/>
  <c r="A23" i="9"/>
  <c r="A27" i="17" s="1"/>
  <c r="A24" i="9"/>
  <c r="A28" i="17" s="1"/>
  <c r="D18" i="9"/>
  <c r="D19" i="9"/>
  <c r="C18" i="9"/>
  <c r="C19" i="9"/>
  <c r="A18" i="9"/>
  <c r="A22" i="17" s="1"/>
  <c r="A19" i="9"/>
  <c r="A23" i="17" s="1"/>
  <c r="D51" i="5"/>
  <c r="B23" i="9" s="1"/>
  <c r="D52" i="5"/>
  <c r="B24" i="9" s="1"/>
  <c r="B18" i="9"/>
  <c r="D47" i="5"/>
  <c r="B19" i="9" s="1"/>
  <c r="A15" i="9"/>
  <c r="A19" i="17" s="1"/>
  <c r="A16" i="9"/>
  <c r="A20" i="17" s="1"/>
  <c r="A17" i="9"/>
  <c r="A20" i="9"/>
  <c r="A24" i="17" s="1"/>
  <c r="A21" i="9"/>
  <c r="A25" i="17" s="1"/>
  <c r="A22" i="9"/>
  <c r="A26" i="17" s="1"/>
  <c r="A25" i="9"/>
  <c r="A29" i="17" s="1"/>
  <c r="A14" i="9"/>
  <c r="A18" i="17" s="1"/>
  <c r="B21" i="20" l="1"/>
  <c r="B32" i="9"/>
  <c r="J32" i="9"/>
  <c r="C21" i="9"/>
  <c r="C20" i="9"/>
  <c r="C17" i="9"/>
  <c r="H16" i="17" l="1"/>
  <c r="G16" i="17"/>
  <c r="G12" i="9"/>
  <c r="H14" i="17"/>
  <c r="A32" i="17"/>
  <c r="A28" i="9"/>
  <c r="I28" i="9"/>
  <c r="I16" i="17"/>
  <c r="J13" i="17"/>
  <c r="K21" i="9"/>
  <c r="K20" i="9"/>
  <c r="K17" i="9"/>
  <c r="D17" i="9"/>
  <c r="D20" i="9"/>
  <c r="B28" i="5"/>
  <c r="G5" i="9"/>
  <c r="F12" i="9" l="1"/>
  <c r="H11" i="17"/>
  <c r="H10" i="17"/>
  <c r="H9" i="17"/>
  <c r="H8" i="17"/>
  <c r="H5" i="17"/>
  <c r="H4" i="17"/>
  <c r="H3" i="17"/>
  <c r="H2" i="17"/>
  <c r="D26" i="5"/>
  <c r="D41" i="5"/>
  <c r="G11" i="9"/>
  <c r="G10" i="9"/>
  <c r="G8" i="9"/>
  <c r="G6" i="9"/>
  <c r="G3" i="9"/>
  <c r="D13" i="9"/>
  <c r="C61" i="5"/>
  <c r="C59" i="5"/>
  <c r="C55" i="5"/>
  <c r="B32" i="5"/>
  <c r="B30" i="5"/>
  <c r="I10" i="17"/>
  <c r="I2" i="17"/>
  <c r="J36" i="17" l="1"/>
  <c r="A42" i="5"/>
  <c r="L32" i="17" l="1"/>
  <c r="L30" i="17" s="1"/>
  <c r="M30" i="17" s="1"/>
  <c r="H3" i="9" l="1"/>
  <c r="I11" i="17"/>
  <c r="A2" i="17"/>
  <c r="C14" i="9"/>
  <c r="C15" i="9"/>
  <c r="C16" i="9"/>
  <c r="C22" i="9"/>
  <c r="C25" i="9"/>
  <c r="H8" i="9"/>
  <c r="H5" i="9"/>
  <c r="H2" i="9"/>
  <c r="A2" i="9"/>
  <c r="I3" i="17"/>
  <c r="C32" i="5"/>
  <c r="D42" i="5"/>
  <c r="D43" i="5"/>
  <c r="B15" i="9" s="1"/>
  <c r="D44" i="5"/>
  <c r="B16" i="9" s="1"/>
  <c r="D45" i="5"/>
  <c r="B17" i="9" s="1"/>
  <c r="D48" i="5"/>
  <c r="B20" i="9" s="1"/>
  <c r="D49" i="5"/>
  <c r="B21" i="9" s="1"/>
  <c r="D50" i="5"/>
  <c r="B22" i="9" s="1"/>
  <c r="G28" i="9"/>
  <c r="D53" i="5"/>
  <c r="B25" i="9" s="1"/>
  <c r="D21" i="9"/>
  <c r="H41" i="5"/>
  <c r="G41" i="5"/>
  <c r="F41" i="5"/>
  <c r="B34" i="9"/>
  <c r="B34" i="17"/>
  <c r="I34" i="17" s="1"/>
  <c r="J34" i="9"/>
  <c r="N36" i="17"/>
  <c r="B36" i="17" l="1"/>
  <c r="C33" i="5"/>
  <c r="H11" i="9" s="1"/>
  <c r="D23" i="9"/>
  <c r="D24" i="9"/>
  <c r="J34" i="17"/>
  <c r="H6" i="9"/>
  <c r="D16" i="9"/>
  <c r="D25" i="9"/>
  <c r="D15" i="9"/>
  <c r="D22" i="9"/>
  <c r="D14" i="9"/>
  <c r="K34" i="9"/>
  <c r="H10" i="9"/>
  <c r="I4" i="17"/>
  <c r="D55" i="5"/>
  <c r="B12" i="21" s="1"/>
  <c r="B14" i="9"/>
  <c r="B9" i="9" l="1"/>
  <c r="B10" i="9" s="1"/>
  <c r="B12" i="20"/>
  <c r="F32" i="9"/>
  <c r="L34" i="17"/>
  <c r="L35" i="17" s="1"/>
  <c r="I5" i="17"/>
  <c r="N34" i="17"/>
  <c r="B28" i="9"/>
  <c r="B10" i="17"/>
  <c r="B11" i="17" s="1"/>
  <c r="C10" i="17"/>
  <c r="C11" i="17" s="1"/>
  <c r="D61" i="5"/>
  <c r="D28" i="9"/>
  <c r="B24" i="20" l="1"/>
  <c r="B24" i="21"/>
  <c r="B37" i="9"/>
  <c r="F22" i="9"/>
  <c r="F19" i="9"/>
  <c r="J19" i="9" s="1"/>
  <c r="B23" i="17" s="1"/>
  <c r="E23" i="17" s="1"/>
  <c r="F23" i="17" s="1"/>
  <c r="G23" i="17" s="1"/>
  <c r="H23" i="17" s="1"/>
  <c r="F18" i="9"/>
  <c r="J18" i="9" s="1"/>
  <c r="B22" i="17" s="1"/>
  <c r="E22" i="17" s="1"/>
  <c r="F22" i="17" s="1"/>
  <c r="G22" i="17" s="1"/>
  <c r="H22" i="17" s="1"/>
  <c r="F23" i="9"/>
  <c r="J23" i="9" s="1"/>
  <c r="F24" i="9"/>
  <c r="J24" i="9" s="1"/>
  <c r="F21" i="9"/>
  <c r="J21" i="9" s="1"/>
  <c r="F20" i="9"/>
  <c r="J20" i="9" s="1"/>
  <c r="B24" i="17" s="1"/>
  <c r="E24" i="17" s="1"/>
  <c r="F17" i="9"/>
  <c r="J17" i="9" s="1"/>
  <c r="F16" i="9"/>
  <c r="F14" i="9"/>
  <c r="F15" i="9"/>
  <c r="F25" i="9"/>
  <c r="B28" i="17" l="1"/>
  <c r="E28" i="17" s="1"/>
  <c r="F28" i="17" s="1"/>
  <c r="G28" i="17" s="1"/>
  <c r="H28" i="17" s="1"/>
  <c r="K24" i="9"/>
  <c r="B27" i="17"/>
  <c r="E27" i="17" s="1"/>
  <c r="F27" i="17" s="1"/>
  <c r="G27" i="17" s="1"/>
  <c r="H27" i="17" s="1"/>
  <c r="K23" i="9"/>
  <c r="F24" i="17"/>
  <c r="G24" i="17" s="1"/>
  <c r="H24" i="17" s="1"/>
  <c r="J16" i="9"/>
  <c r="B20" i="17" s="1"/>
  <c r="E20" i="17" s="1"/>
  <c r="J25" i="9"/>
  <c r="J22" i="9"/>
  <c r="J15" i="9"/>
  <c r="B19" i="17" s="1"/>
  <c r="E19" i="17" s="1"/>
  <c r="J14" i="9"/>
  <c r="B21" i="17"/>
  <c r="E21" i="17" s="1"/>
  <c r="B25" i="17"/>
  <c r="E25" i="17" s="1"/>
  <c r="F28" i="9"/>
  <c r="B18" i="17" l="1"/>
  <c r="E18" i="17" s="1"/>
  <c r="F18" i="17" s="1"/>
  <c r="G18" i="17" s="1"/>
  <c r="H18" i="17" s="1"/>
  <c r="F25" i="17"/>
  <c r="G25" i="17" s="1"/>
  <c r="H25" i="17" s="1"/>
  <c r="K22" i="9"/>
  <c r="K25" i="9"/>
  <c r="K14" i="9"/>
  <c r="K15" i="9"/>
  <c r="K16" i="9"/>
  <c r="B29" i="17"/>
  <c r="E29" i="17" s="1"/>
  <c r="F29" i="17" s="1"/>
  <c r="B26" i="17"/>
  <c r="E26" i="17" s="1"/>
  <c r="F26" i="17" s="1"/>
  <c r="G26" i="17" s="1"/>
  <c r="H26" i="17" s="1"/>
  <c r="J28" i="9"/>
  <c r="B13" i="20" s="1"/>
  <c r="B23" i="20" s="1"/>
  <c r="F21" i="17"/>
  <c r="G21" i="17" s="1"/>
  <c r="H21" i="17" s="1"/>
  <c r="F19" i="17"/>
  <c r="G19" i="17" s="1"/>
  <c r="H19" i="17" s="1"/>
  <c r="F20" i="17"/>
  <c r="G20" i="17" s="1"/>
  <c r="H20" i="17" s="1"/>
  <c r="G29" i="17" l="1"/>
  <c r="H29" i="17" s="1"/>
  <c r="J37" i="9"/>
  <c r="K37" i="9" s="1"/>
  <c r="M18" i="20"/>
  <c r="B32" i="17"/>
  <c r="B38" i="17" s="1"/>
  <c r="K28" i="9"/>
  <c r="L28" i="9" s="1"/>
  <c r="J30" i="9"/>
  <c r="I30" i="9" s="1"/>
  <c r="E32" i="17"/>
  <c r="F32" i="17"/>
  <c r="G32" i="17" l="1"/>
  <c r="I13" i="17" s="1"/>
  <c r="H32" i="17"/>
  <c r="I26" i="17" l="1"/>
  <c r="I28" i="17"/>
  <c r="I27" i="17"/>
  <c r="I24" i="17"/>
  <c r="I22" i="17"/>
  <c r="I23" i="17"/>
  <c r="I25" i="17"/>
  <c r="I18" i="17"/>
  <c r="J18" i="17" s="1"/>
  <c r="I19" i="17"/>
  <c r="J19" i="17" s="1"/>
  <c r="I20" i="17"/>
  <c r="J20" i="17" s="1"/>
  <c r="I29" i="17"/>
  <c r="J29" i="17" s="1"/>
  <c r="I21" i="17"/>
  <c r="J27" i="17" l="1"/>
  <c r="M27" i="17"/>
  <c r="N27" i="17" s="1"/>
  <c r="J26" i="17"/>
  <c r="M26" i="17"/>
  <c r="N26" i="17" s="1"/>
  <c r="J25" i="17"/>
  <c r="M25" i="17"/>
  <c r="N25" i="17" s="1"/>
  <c r="J23" i="17"/>
  <c r="M23" i="17"/>
  <c r="N23" i="17" s="1"/>
  <c r="M28" i="17"/>
  <c r="N28" i="17" s="1"/>
  <c r="J28" i="17"/>
  <c r="M22" i="17"/>
  <c r="N22" i="17" s="1"/>
  <c r="J22" i="17"/>
  <c r="J24" i="17"/>
  <c r="M24" i="17"/>
  <c r="N24" i="17" s="1"/>
  <c r="J21" i="17"/>
  <c r="M21" i="17"/>
  <c r="N21" i="17" s="1"/>
  <c r="M18" i="17"/>
  <c r="N18" i="17" s="1"/>
  <c r="M20" i="17"/>
  <c r="N20" i="17" s="1"/>
  <c r="M29" i="17"/>
  <c r="N29" i="17" s="1"/>
  <c r="M19" i="17"/>
  <c r="N19" i="17" s="1"/>
  <c r="I32" i="17"/>
  <c r="I14" i="17" l="1"/>
  <c r="J14" i="17" s="1"/>
  <c r="J32" i="17"/>
  <c r="M32" i="17"/>
  <c r="N32" i="17"/>
  <c r="B13" i="21" s="1"/>
  <c r="I38" i="17"/>
  <c r="B23" i="21" l="1"/>
  <c r="M18" i="21" s="1"/>
  <c r="N38" i="17"/>
  <c r="J38" i="17"/>
</calcChain>
</file>

<file path=xl/sharedStrings.xml><?xml version="1.0" encoding="utf-8"?>
<sst xmlns="http://schemas.openxmlformats.org/spreadsheetml/2006/main" count="197" uniqueCount="144">
  <si>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</si>
  <si>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</si>
  <si>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</si>
  <si>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</si>
  <si>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</si>
  <si>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</si>
  <si>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</si>
  <si>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</si>
  <si>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</si>
  <si>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</si>
  <si>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</si>
  <si>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</si>
  <si>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</si>
  <si>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</si>
  <si>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</si>
  <si>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</si>
  <si>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</si>
  <si>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</si>
  <si>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</si>
  <si>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</si>
  <si>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</si>
  <si>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</si>
  <si>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</si>
  <si>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</si>
  <si>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</si>
  <si>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</si>
  <si>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</si>
  <si>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</si>
  <si>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</si>
  <si>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</si>
  <si>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District Assumptions &amp; Data Entry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</si>
  <si>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</si>
  <si>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</si>
  <si>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</si>
  <si>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</si>
  <si>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</si>
  <si>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</si>
  <si>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</si>
  <si>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</si>
  <si>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District Name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</si>
  <si>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</si>
  <si>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</si>
  <si>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</si>
  <si>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</si>
  <si>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</si>
  <si>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</si>
  <si>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</si>
  <si>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</si>
  <si>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</si>
  <si>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</si>
  <si>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</si>
  <si>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</si>
  <si>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</si>
  <si>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</si>
  <si>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</si>
  <si>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</si>
  <si>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</si>
  <si>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</si>
  <si>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</si>
  <si>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</si>
  <si>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Name</t>
  </si>
  <si>
    <t xml:space="preserve"> Enter District Number</t>
  </si>
  <si>
    <t xml:space="preserve"> Choose Yes or No</t>
  </si>
  <si>
    <t xml:space="preserve"> Enter Estimated New Property</t>
  </si>
  <si>
    <t xml:space="preserve"> Enter Reassessment Percentage Before New Property</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</si>
  <si>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</si>
  <si>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</si>
  <si>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</si>
  <si>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</si>
  <si>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</si>
  <si>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</si>
  <si>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</si>
  <si>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</si>
  <si>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</si>
  <si>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</si>
  <si>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(County Clerk Levies Bond &amp; Interest for the District, Verify Records with County Clerk)</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</si>
  <si>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</si>
  <si>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</si>
  <si>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</si>
  <si>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</si>
  <si>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</si>
  <si>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</si>
  <si>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</si>
  <si>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</si>
  <si>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</si>
  <si>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</si>
  <si>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</si>
  <si>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</si>
  <si>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</si>
  <si>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</si>
  <si>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</si>
  <si>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</si>
  <si>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</si>
  <si>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</si>
  <si>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</si>
  <si>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</si>
  <si>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</si>
  <si>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</si>
  <si>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</si>
  <si>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 xml:space="preserve">Actual Special Recreation Extension/Rate </t>
  </si>
  <si>
    <t>Special Recreation Levy</t>
  </si>
  <si>
    <t>Target Rate for Special Recreation Levy</t>
  </si>
  <si>
    <t>Estimated Special Recreation Levy</t>
  </si>
  <si>
    <t>Lesser of 5% or Consumer Price Index</t>
  </si>
  <si>
    <t>I think we should remove these two lines as well</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</si>
  <si>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</si>
  <si>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</si>
  <si>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Original Assumptions from Calculations Tab</t>
  </si>
  <si>
    <t>Taxpayer Impact</t>
  </si>
  <si>
    <t>LY22</t>
  </si>
  <si>
    <t>Includes EAV % Change</t>
  </si>
  <si>
    <t>Cook</t>
  </si>
  <si>
    <t>DuPage</t>
  </si>
  <si>
    <t>Total Assessed Value</t>
  </si>
  <si>
    <t>Lake</t>
  </si>
  <si>
    <t>State Equalization Multiplier</t>
  </si>
  <si>
    <t>McHenry</t>
  </si>
  <si>
    <t>Kane</t>
  </si>
  <si>
    <t>Homestead Exemption LY22</t>
  </si>
  <si>
    <t>Based on County 1 on the input tab</t>
  </si>
  <si>
    <t>Will</t>
  </si>
  <si>
    <t xml:space="preserve"> Includes Loss Cost</t>
  </si>
  <si>
    <t>Homestead Exemption LY23</t>
  </si>
  <si>
    <t>Bond &amp; Interest Lost Cost (%)</t>
  </si>
  <si>
    <t>Net Equalized Assessed Value</t>
  </si>
  <si>
    <t>Bond &amp; Interest Abatement</t>
  </si>
  <si>
    <t xml:space="preserve">Enter debt service to be abated </t>
  </si>
  <si>
    <t>Bond &amp; Interest Rate Abatement</t>
  </si>
  <si>
    <t>Cannot exceed estimated B&amp;I Tax Rate</t>
  </si>
  <si>
    <t>Note, if the B&amp;I levy on the "Calculations" tab was reduced by an expected abatement, it will need to be removed to prevent double counting the abatement.</t>
  </si>
  <si>
    <t>It does not include property taxes paid for other District purposes and to other governments. Actual tax rates and payments may vary based on District-wide EAV growth, individual homeowner reassessment, State Law changes, property tax rate initiatives and other factors.</t>
  </si>
  <si>
    <t>Total Prior Year's Tax Rate</t>
  </si>
  <si>
    <t>Scenario Assumptions from Extension Tab</t>
  </si>
  <si>
    <t>If the actual Bond &amp; Interest extension is known and input on the "Extension" tab in cell I36, no input is needed for the Loss Cost and Abatement cells.</t>
  </si>
  <si>
    <t xml:space="preserve">Liability Insurance </t>
  </si>
  <si>
    <t xml:space="preserve">Buildings Equipment and Maintenance </t>
  </si>
  <si>
    <t xml:space="preserve">Workman's Compensation </t>
  </si>
  <si>
    <t xml:space="preserve">Unemployment Insurance </t>
  </si>
  <si>
    <t xml:space="preserve">Audit </t>
  </si>
  <si>
    <t xml:space="preserve">Working Cash Funds </t>
  </si>
  <si>
    <t xml:space="preserve">Corporate </t>
  </si>
  <si>
    <t xml:space="preserve">Custom 1 </t>
  </si>
  <si>
    <t xml:space="preserve">Custom 2 </t>
  </si>
  <si>
    <t xml:space="preserve">Custom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</si>
</sst>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0.000"/>
    <numFmt numFmtId="171" formatCode="#,##0.000_);\(#,##0.000\)"/>
    <numFmt numFmtId="172" formatCode="[$$-409]#,##0.0000_);[Red]\([$$-409]#,##0.0000\)"/>
    <numFmt numFmtId="173" formatCode="0.0%"/>
    <numFmt numFmtId="174" formatCode="&quot;$&quot;#,##0.00"/>
    <numFmt numFmtId="181" formatCode="&quot;$&quot;#,##0.0000"/>
  </numFmts>
  <fonts count="43"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10"/>
      <color theme="1" tint="0.34998626667073579"/>
      <name val="Arial"/>
      <family val="2"/>
    </font>
    <font>
      <sz val="9"/>
      <name val="Times New Roman"/>
      <family val="1"/>
    </font>
  </fonts>
  <fills count="10">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cellStyleXfs>
  <cellXfs count="287">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164" fontId="4" fillId="2" borderId="1" xfId="0" applyNumberFormat="1" applyFont="1" applyFill="1" applyBorder="1" applyAlignment="1">
      <alignment horizontal="right"/>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4" fontId="4" fillId="7" borderId="1" xfId="0" applyNumberFormat="1" applyFont="1" applyFill="1" applyBorder="1" applyProtection="1">
      <protection locked="0"/>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64" fontId="4" fillId="7" borderId="1" xfId="0" applyNumberFormat="1" applyFont="1" applyFill="1" applyBorder="1"/>
    <xf numFmtId="10" fontId="4" fillId="5" borderId="1" xfId="2" applyNumberFormat="1" applyFont="1" applyFill="1" applyBorder="1" applyAlignment="1" applyProtection="1">
      <alignment horizontal="center"/>
      <protection locked="0"/>
    </xf>
    <xf numFmtId="164" fontId="5" fillId="7" borderId="1" xfId="0" applyNumberFormat="1" applyFont="1" applyFill="1" applyBorder="1"/>
    <xf numFmtId="164" fontId="5" fillId="7" borderId="4" xfId="0" applyNumberFormat="1" applyFont="1" applyFill="1" applyBorder="1"/>
    <xf numFmtId="166" fontId="9" fillId="7" borderId="5" xfId="0" applyNumberFormat="1" applyFont="1" applyFill="1" applyBorder="1" applyAlignment="1">
      <alignment horizontal="right"/>
    </xf>
    <xf numFmtId="0" fontId="4" fillId="7" borderId="1" xfId="0" applyFont="1" applyFill="1" applyBorder="1" applyAlignment="1">
      <alignment horizontal="center"/>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43" fontId="12" fillId="5" borderId="1" xfId="1" applyFont="1" applyFill="1" applyBorder="1" applyAlignment="1" applyProtection="1">
      <alignment horizontal="center"/>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10" fontId="9" fillId="7" borderId="1" xfId="2" applyNumberFormat="1" applyFont="1" applyFill="1" applyBorder="1" applyAlignment="1" applyProtection="1">
      <alignment horizontal="right"/>
    </xf>
    <xf numFmtId="0" fontId="33" fillId="4" borderId="0" xfId="0" applyFont="1" applyFill="1" applyAlignment="1" applyProtection="1">
      <alignment horizontal="right"/>
      <protection hidden="1"/>
    </xf>
    <xf numFmtId="167" fontId="9" fillId="7" borderId="9" xfId="0" applyNumberFormat="1" applyFont="1" applyFill="1" applyBorder="1"/>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10" fontId="4" fillId="7" borderId="5" xfId="2" applyNumberFormat="1" applyFont="1" applyFill="1" applyBorder="1" applyAlignment="1" applyProtection="1">
      <alignment horizontal="center"/>
    </xf>
    <xf numFmtId="164" fontId="4" fillId="4" borderId="0" xfId="0" applyNumberFormat="1" applyFont="1" applyFill="1"/>
    <xf numFmtId="2" fontId="5" fillId="4" borderId="0" xfId="0" applyNumberFormat="1" applyFont="1" applyFill="1" applyAlignment="1">
      <alignment horizontal="center"/>
    </xf>
    <xf numFmtId="167" fontId="4" fillId="4" borderId="0" xfId="0" applyNumberFormat="1" applyFont="1" applyFill="1" applyProtection="1">
      <protection locked="0"/>
    </xf>
    <xf numFmtId="10" fontId="4" fillId="4" borderId="0" xfId="2" applyNumberFormat="1" applyFont="1" applyFill="1" applyBorder="1" applyAlignment="1" applyProtection="1">
      <alignment horizontal="center"/>
      <protection locked="0"/>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164" fontId="32" fillId="0" borderId="0" xfId="0" applyNumberFormat="1" applyFont="1"/>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0" fontId="5" fillId="5" borderId="1" xfId="0" applyNumberFormat="1" applyFont="1" applyFill="1" applyBorder="1" applyAlignment="1" applyProtection="1">
      <alignment horizontal="center"/>
      <protection locked="0"/>
    </xf>
    <xf numFmtId="170" fontId="5" fillId="6" borderId="1" xfId="0" applyNumberFormat="1" applyFont="1" applyFill="1" applyBorder="1" applyAlignment="1" applyProtection="1">
      <alignment horizontal="center"/>
      <protection hidden="1"/>
    </xf>
    <xf numFmtId="170" fontId="5" fillId="7" borderId="1" xfId="0" applyNumberFormat="1" applyFont="1" applyFill="1" applyBorder="1" applyAlignment="1">
      <alignment horizontal="center"/>
    </xf>
    <xf numFmtId="171" fontId="5" fillId="7" borderId="1" xfId="0" applyNumberFormat="1" applyFont="1" applyFill="1" applyBorder="1" applyAlignment="1" applyProtection="1">
      <alignment horizontal="center"/>
      <protection hidden="1"/>
    </xf>
    <xf numFmtId="10" fontId="4" fillId="5" borderId="1" xfId="2" applyNumberFormat="1" applyFont="1" applyFill="1" applyBorder="1" applyProtection="1">
      <protection locked="0"/>
    </xf>
    <xf numFmtId="10" fontId="4" fillId="7" borderId="1" xfId="0" applyNumberFormat="1" applyFont="1" applyFill="1" applyBorder="1" applyAlignment="1">
      <alignment horizontal="right"/>
    </xf>
    <xf numFmtId="43" fontId="12" fillId="5" borderId="1" xfId="1" applyFont="1" applyFill="1" applyBorder="1" applyAlignment="1" applyProtection="1">
      <alignment horizontal="center"/>
      <protection hidden="1"/>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 fillId="9" borderId="0" xfId="3" applyFont="1" applyFill="1" applyProtection="1">
      <protection hidden="1"/>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3" fontId="4" fillId="7" borderId="1" xfId="2" applyNumberFormat="1" applyFont="1" applyFill="1" applyBorder="1" applyProtection="1">
      <protection hidden="1"/>
    </xf>
    <xf numFmtId="169" fontId="4" fillId="7" borderId="1" xfId="3" applyNumberFormat="1" applyFont="1" applyFill="1" applyBorder="1" applyProtection="1">
      <protection hidden="1"/>
    </xf>
    <xf numFmtId="172" fontId="9" fillId="7" borderId="1" xfId="3" applyNumberFormat="1" applyFont="1" applyFill="1" applyBorder="1" applyProtection="1">
      <protection hidden="1"/>
    </xf>
    <xf numFmtId="172" fontId="4" fillId="0" borderId="0" xfId="3" applyNumberFormat="1" applyFont="1"/>
    <xf numFmtId="164" fontId="9" fillId="7" borderId="1" xfId="3" applyNumberFormat="1" applyFont="1" applyFill="1" applyBorder="1" applyProtection="1">
      <protection hidden="1"/>
    </xf>
    <xf numFmtId="0" fontId="4" fillId="9" borderId="0" xfId="3" applyFont="1" applyFill="1" applyAlignment="1">
      <alignment wrapText="1"/>
    </xf>
    <xf numFmtId="0" fontId="7" fillId="4" borderId="0" xfId="3" applyFont="1" applyFill="1" applyProtection="1">
      <protection hidden="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41" fillId="0" borderId="0" xfId="3" applyFont="1" applyAlignment="1" applyProtection="1">
      <alignment vertical="top"/>
      <protection hidden="1"/>
    </xf>
    <xf numFmtId="0" fontId="41" fillId="0" borderId="0" xfId="3" applyFont="1" applyAlignment="1">
      <alignment vertical="top"/>
    </xf>
    <xf numFmtId="0" fontId="41" fillId="0" borderId="0" xfId="3" applyFont="1" applyAlignment="1" applyProtection="1">
      <alignment vertical="top" wrapText="1"/>
      <protection hidden="1"/>
    </xf>
    <xf numFmtId="0" fontId="41" fillId="0" borderId="0" xfId="3" applyFont="1" applyAlignment="1">
      <alignment vertical="top" wrapText="1"/>
    </xf>
    <xf numFmtId="43" fontId="4" fillId="5" borderId="1" xfId="1" applyFont="1" applyFill="1" applyBorder="1" applyAlignment="1" applyProtection="1">
      <alignment horizontal="center"/>
      <protection locked="0"/>
    </xf>
    <xf numFmtId="43" fontId="4" fillId="5" borderId="1" xfId="1" applyFont="1" applyFill="1" applyBorder="1" applyAlignment="1" applyProtection="1">
      <alignment horizontal="center"/>
      <protection hidden="1"/>
    </xf>
    <xf numFmtId="0" fontId="4" fillId="0" borderId="0" xfId="0" applyFont="1"/>
    <xf numFmtId="0" fontId="4" fillId="9" borderId="0" xfId="0" applyFont="1" applyFill="1"/>
    <xf numFmtId="10" fontId="9" fillId="7" borderId="1" xfId="0" applyNumberFormat="1" applyFont="1" applyFill="1" applyBorder="1" applyAlignment="1" applyProtection="1">
      <alignment horizontal="right"/>
      <protection hidden="1"/>
    </xf>
    <xf numFmtId="167" fontId="9" fillId="5" borderId="1" xfId="0" applyNumberFormat="1" applyFont="1" applyFill="1" applyBorder="1" applyProtection="1">
      <protection locked="0"/>
    </xf>
    <xf numFmtId="0" fontId="4" fillId="9" borderId="0" xfId="0" applyFont="1" applyFill="1" applyProtection="1">
      <protection hidden="1"/>
    </xf>
    <xf numFmtId="167" fontId="9" fillId="7" borderId="1" xfId="0" applyNumberFormat="1" applyFont="1" applyFill="1" applyBorder="1" applyProtection="1">
      <protection hidden="1"/>
    </xf>
    <xf numFmtId="0" fontId="9" fillId="0" borderId="0" xfId="0" applyFont="1" applyProtection="1">
      <protection hidden="1"/>
    </xf>
    <xf numFmtId="169" fontId="4" fillId="7" borderId="1" xfId="0" applyNumberFormat="1" applyFont="1" applyFill="1" applyBorder="1" applyProtection="1">
      <protection hidden="1"/>
    </xf>
    <xf numFmtId="172" fontId="9" fillId="7" borderId="1" xfId="0" applyNumberFormat="1" applyFont="1" applyFill="1" applyBorder="1" applyProtection="1">
      <protection hidden="1"/>
    </xf>
    <xf numFmtId="172" fontId="4" fillId="0" borderId="0" xfId="0" applyNumberFormat="1" applyFont="1"/>
    <xf numFmtId="164" fontId="9" fillId="7" borderId="1" xfId="0" applyNumberFormat="1" applyFont="1" applyFill="1" applyBorder="1" applyProtection="1">
      <protection hidden="1"/>
    </xf>
    <xf numFmtId="0" fontId="4" fillId="9" borderId="0" xfId="0" applyFont="1" applyFill="1" applyAlignment="1">
      <alignment wrapText="1"/>
    </xf>
    <xf numFmtId="0" fontId="7" fillId="0" borderId="0" xfId="0" applyFont="1" applyAlignment="1" applyProtection="1">
      <alignment vertical="top" wrapText="1"/>
      <protection hidden="1"/>
    </xf>
    <xf numFmtId="2" fontId="4" fillId="0" borderId="0" xfId="0" applyNumberFormat="1" applyFont="1" applyProtection="1">
      <protection hidden="1"/>
    </xf>
    <xf numFmtId="0" fontId="41" fillId="0" borderId="0" xfId="3" applyFont="1" applyAlignment="1" applyProtection="1">
      <alignment wrapText="1"/>
      <protection hidden="1"/>
    </xf>
    <xf numFmtId="164" fontId="5" fillId="0" borderId="7" xfId="0" applyNumberFormat="1" applyFont="1" applyBorder="1" applyProtection="1">
      <protection hidden="1"/>
    </xf>
    <xf numFmtId="164" fontId="5" fillId="0" borderId="6" xfId="0" applyNumberFormat="1" applyFont="1" applyBorder="1" applyProtection="1">
      <protection hidden="1"/>
    </xf>
    <xf numFmtId="0" fontId="41" fillId="0" borderId="0" xfId="3" applyFont="1" applyProtection="1">
      <protection hidden="1"/>
    </xf>
    <xf numFmtId="9" fontId="4" fillId="9" borderId="0" xfId="2" applyFont="1" applyFill="1"/>
    <xf numFmtId="174" fontId="4" fillId="0" borderId="0" xfId="3" applyNumberFormat="1" applyFont="1"/>
    <xf numFmtId="166" fontId="9" fillId="0" borderId="0" xfId="0" applyNumberFormat="1" applyFont="1" applyAlignment="1" applyProtection="1">
      <alignment horizontal="center"/>
      <protection hidden="1"/>
    </xf>
    <xf numFmtId="0" fontId="38" fillId="8" borderId="11" xfId="0" applyFont="1" applyFill="1" applyBorder="1" applyAlignment="1" applyProtection="1">
      <alignment horizontal="center" vertical="center" wrapText="1"/>
      <protection hidden="1"/>
    </xf>
    <xf numFmtId="0" fontId="38" fillId="8" borderId="12" xfId="0" applyFont="1" applyFill="1" applyBorder="1" applyAlignment="1" applyProtection="1">
      <alignment horizontal="center" vertical="center" wrapText="1"/>
      <protection hidden="1"/>
    </xf>
    <xf numFmtId="0" fontId="38" fillId="8" borderId="13" xfId="0" applyFont="1" applyFill="1" applyBorder="1" applyAlignment="1" applyProtection="1">
      <alignment horizontal="center" vertical="center" wrapText="1"/>
      <protection hidden="1"/>
    </xf>
    <xf numFmtId="0" fontId="38" fillId="8" borderId="14" xfId="0" applyFont="1" applyFill="1" applyBorder="1" applyAlignment="1" applyProtection="1">
      <alignment horizontal="center" vertical="center" wrapText="1"/>
      <protection hidden="1"/>
    </xf>
    <xf numFmtId="0" fontId="38" fillId="8" borderId="0" xfId="0" applyFont="1" applyFill="1" applyAlignment="1" applyProtection="1">
      <alignment horizontal="center" vertical="center" wrapText="1"/>
      <protection hidden="1"/>
    </xf>
    <xf numFmtId="0" fontId="38" fillId="8" borderId="15" xfId="0" applyFont="1" applyFill="1" applyBorder="1" applyAlignment="1" applyProtection="1">
      <alignment horizontal="center" vertical="center" wrapText="1"/>
      <protection hidden="1"/>
    </xf>
    <xf numFmtId="0" fontId="38" fillId="8" borderId="16" xfId="0" applyFont="1" applyFill="1" applyBorder="1" applyAlignment="1" applyProtection="1">
      <alignment horizontal="center" vertical="center" wrapText="1"/>
      <protection hidden="1"/>
    </xf>
    <xf numFmtId="0" fontId="38" fillId="8" borderId="17" xfId="0" applyFont="1" applyFill="1" applyBorder="1" applyAlignment="1" applyProtection="1">
      <alignment horizontal="center" vertical="center" wrapText="1"/>
      <protection hidden="1"/>
    </xf>
    <xf numFmtId="0" fontId="38" fillId="8" borderId="18" xfId="0" applyFont="1" applyFill="1" applyBorder="1" applyAlignment="1" applyProtection="1">
      <alignment horizontal="center" vertical="center" wrapText="1"/>
      <protection hidden="1"/>
    </xf>
    <xf numFmtId="0" fontId="9" fillId="8" borderId="11" xfId="0" applyFont="1" applyFill="1" applyBorder="1" applyAlignment="1" applyProtection="1">
      <alignment horizontal="center" vertical="center" wrapText="1"/>
      <protection hidden="1"/>
    </xf>
    <xf numFmtId="0" fontId="4" fillId="8" borderId="12" xfId="0" applyFont="1" applyFill="1" applyBorder="1" applyAlignment="1" applyProtection="1">
      <alignment horizontal="center" vertical="center" wrapText="1"/>
      <protection hidden="1"/>
    </xf>
    <xf numFmtId="0" fontId="4" fillId="8" borderId="13" xfId="0" applyFont="1" applyFill="1" applyBorder="1" applyAlignment="1" applyProtection="1">
      <alignment horizontal="center" vertical="center" wrapText="1"/>
      <protection hidden="1"/>
    </xf>
    <xf numFmtId="0" fontId="4" fillId="8" borderId="14"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15" xfId="0" applyFont="1" applyFill="1" applyBorder="1" applyAlignment="1" applyProtection="1">
      <alignment horizontal="center" vertical="center" wrapText="1"/>
      <protection hidden="1"/>
    </xf>
    <xf numFmtId="0" fontId="4" fillId="8" borderId="16" xfId="0" applyFont="1" applyFill="1" applyBorder="1" applyAlignment="1" applyProtection="1">
      <alignment horizontal="center" vertical="center" wrapText="1"/>
      <protection hidden="1"/>
    </xf>
    <xf numFmtId="0" fontId="4" fillId="8" borderId="17" xfId="0" applyFont="1" applyFill="1" applyBorder="1" applyAlignment="1" applyProtection="1">
      <alignment horizontal="center" vertical="center" wrapText="1"/>
      <protection hidden="1"/>
    </xf>
    <xf numFmtId="0" fontId="4" fillId="8" borderId="18" xfId="0" applyFont="1" applyFill="1" applyBorder="1" applyAlignment="1" applyProtection="1">
      <alignment horizontal="center" vertical="center" wrapText="1"/>
      <protection hidden="1"/>
    </xf>
    <xf numFmtId="0" fontId="9" fillId="8" borderId="13" xfId="0" applyFont="1" applyFill="1" applyBorder="1" applyAlignment="1" applyProtection="1">
      <alignment horizontal="center" vertical="center" wrapText="1"/>
      <protection hidden="1"/>
    </xf>
    <xf numFmtId="0" fontId="9" fillId="8" borderId="16" xfId="0" applyFont="1" applyFill="1" applyBorder="1" applyAlignment="1" applyProtection="1">
      <alignment horizontal="center" vertical="center" wrapText="1"/>
      <protection hidden="1"/>
    </xf>
    <xf numFmtId="0" fontId="9" fillId="8" borderId="18" xfId="0" applyFont="1" applyFill="1" applyBorder="1" applyAlignment="1" applyProtection="1">
      <alignment horizontal="center" vertical="center" wrapText="1"/>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34" fillId="8" borderId="12" xfId="0" applyFont="1" applyFill="1" applyBorder="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9" fillId="0" borderId="0" xfId="0" applyFont="1" applyAlignment="1" applyProtection="1">
      <alignment horizontal="center" wrapText="1"/>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6" fillId="0" borderId="0" xfId="0" applyFont="1" applyAlignment="1" applyProtection="1">
      <alignment horizontal="right" vertical="center"/>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2" fillId="8" borderId="11" xfId="3" applyFont="1" applyFill="1" applyBorder="1" applyAlignment="1" applyProtection="1">
      <alignment horizontal="left" vertical="top" wrapText="1"/>
      <protection hidden="1"/>
    </xf>
    <xf numFmtId="0" fontId="42" fillId="8" borderId="12" xfId="3" applyFont="1" applyFill="1" applyBorder="1" applyAlignment="1" applyProtection="1">
      <alignment horizontal="left" vertical="top" wrapText="1"/>
      <protection hidden="1"/>
    </xf>
    <xf numFmtId="0" fontId="42" fillId="8" borderId="13" xfId="3" applyFont="1" applyFill="1" applyBorder="1" applyAlignment="1" applyProtection="1">
      <alignment horizontal="left" vertical="top" wrapText="1"/>
      <protection hidden="1"/>
    </xf>
    <xf numFmtId="0" fontId="42" fillId="8" borderId="14" xfId="3" applyFont="1" applyFill="1" applyBorder="1" applyAlignment="1" applyProtection="1">
      <alignment horizontal="left" vertical="top" wrapText="1"/>
      <protection hidden="1"/>
    </xf>
    <xf numFmtId="0" fontId="42" fillId="8" borderId="0" xfId="3" applyFont="1" applyFill="1" applyAlignment="1" applyProtection="1">
      <alignment horizontal="left" vertical="top" wrapText="1"/>
      <protection hidden="1"/>
    </xf>
    <xf numFmtId="0" fontId="42" fillId="8" borderId="15" xfId="3" applyFont="1" applyFill="1" applyBorder="1" applyAlignment="1" applyProtection="1">
      <alignment horizontal="left" vertical="top" wrapText="1"/>
      <protection hidden="1"/>
    </xf>
    <xf numFmtId="0" fontId="42" fillId="8" borderId="16" xfId="3" applyFont="1" applyFill="1" applyBorder="1" applyAlignment="1" applyProtection="1">
      <alignment horizontal="left" vertical="top" wrapText="1"/>
      <protection hidden="1"/>
    </xf>
    <xf numFmtId="0" fontId="42" fillId="8" borderId="17" xfId="3" applyFont="1" applyFill="1" applyBorder="1" applyAlignment="1" applyProtection="1">
      <alignment horizontal="left" vertical="top" wrapText="1"/>
      <protection hidden="1"/>
    </xf>
    <xf numFmtId="0" fontId="42" fillId="8" borderId="18" xfId="3" applyFont="1" applyFill="1" applyBorder="1" applyAlignment="1" applyProtection="1">
      <alignment horizontal="left" vertical="top" wrapText="1"/>
      <protection hidden="1"/>
    </xf>
    <xf numFmtId="0" fontId="41" fillId="0" borderId="0" xfId="3" applyFont="1" applyAlignment="1" applyProtection="1">
      <alignment horizontal="left" vertical="top" wrapText="1"/>
      <protection hidden="1"/>
    </xf>
    <xf numFmtId="0" fontId="9" fillId="0" borderId="12" xfId="0" applyFont="1" applyBorder="1" applyAlignment="1" applyProtection="1">
      <alignment horizontal="center"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7" fillId="0" borderId="0" xfId="0" applyFont="1" applyAlignment="1" applyProtection="1">
      <alignment horizontal="left" vertical="center" wrapText="1"/>
      <protection hidden="1"/>
    </xf>
    <xf numFmtId="0" fontId="42" fillId="8" borderId="11" xfId="0" applyFont="1" applyFill="1" applyBorder="1" applyAlignment="1" applyProtection="1">
      <alignment horizontal="left" vertical="top" wrapText="1"/>
      <protection hidden="1"/>
    </xf>
    <xf numFmtId="0" fontId="42" fillId="8" borderId="12" xfId="0" applyFont="1" applyFill="1" applyBorder="1" applyAlignment="1" applyProtection="1">
      <alignment horizontal="left" vertical="top" wrapText="1"/>
      <protection hidden="1"/>
    </xf>
    <xf numFmtId="0" fontId="42" fillId="8" borderId="13" xfId="0" applyFont="1" applyFill="1" applyBorder="1" applyAlignment="1" applyProtection="1">
      <alignment horizontal="left" vertical="top" wrapText="1"/>
      <protection hidden="1"/>
    </xf>
    <xf numFmtId="0" fontId="42" fillId="8" borderId="14" xfId="0" applyFont="1" applyFill="1" applyBorder="1" applyAlignment="1" applyProtection="1">
      <alignment horizontal="left" vertical="top" wrapText="1"/>
      <protection hidden="1"/>
    </xf>
    <xf numFmtId="0" fontId="42" fillId="8" borderId="0" xfId="0" applyFont="1" applyFill="1" applyAlignment="1" applyProtection="1">
      <alignment horizontal="left" vertical="top" wrapText="1"/>
      <protection hidden="1"/>
    </xf>
    <xf numFmtId="0" fontId="42" fillId="8" borderId="15" xfId="0" applyFont="1" applyFill="1" applyBorder="1" applyAlignment="1" applyProtection="1">
      <alignment horizontal="left" vertical="top" wrapText="1"/>
      <protection hidden="1"/>
    </xf>
    <xf numFmtId="0" fontId="42" fillId="8" borderId="16" xfId="0" applyFont="1" applyFill="1" applyBorder="1" applyAlignment="1" applyProtection="1">
      <alignment horizontal="left" vertical="top" wrapText="1"/>
      <protection hidden="1"/>
    </xf>
    <xf numFmtId="0" fontId="42" fillId="8" borderId="17" xfId="0" applyFont="1" applyFill="1" applyBorder="1" applyAlignment="1" applyProtection="1">
      <alignment horizontal="left" vertical="top" wrapText="1"/>
      <protection hidden="1"/>
    </xf>
    <xf numFmtId="0" fontId="42" fillId="8" borderId="18" xfId="0" applyFont="1" applyFill="1" applyBorder="1" applyAlignment="1" applyProtection="1">
      <alignment horizontal="left" vertical="top" wrapText="1"/>
      <protection hidden="1"/>
    </xf>
    <xf numFmtId="181" fontId="9" fillId="7" borderId="1" xfId="0" applyNumberFormat="1" applyFont="1" applyFill="1" applyBorder="1" applyProtection="1">
      <protection hidden="1"/>
    </xf>
  </cellXfs>
  <cellStyles count="4">
    <cellStyle name="Comma" xfId="1" builtinId="3"/>
    <cellStyle name="Normal" xfId="0" builtinId="0"/>
    <cellStyle name="Normal 2" xfId="3" xr:uid="{5077888D-43AD-4F0A-A2AF-E30B08C0C322}"/>
    <cellStyle name="Percent" xfId="2" builtinId="5"/>
  </cellStyles>
  <dxfs count="112">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ill>
        <patternFill>
          <bgColor rgb="FFCCFFCC"/>
        </patternFill>
      </fill>
    </dxf>
    <dxf>
      <font>
        <condense val="0"/>
        <extend val="0"/>
        <color indexed="9"/>
      </font>
      <fill>
        <patternFill>
          <bgColor indexed="9"/>
        </patternFill>
      </fill>
      <border>
        <left/>
        <right/>
        <top/>
        <bottom/>
      </border>
    </dxf>
    <dxf>
      <font>
        <color theme="0"/>
      </font>
    </dxf>
    <dxf>
      <font>
        <color auto="1"/>
      </font>
      <fill>
        <patternFill>
          <bgColor theme="5" tint="0.59996337778862885"/>
        </patternFill>
      </fill>
    </dxf>
    <dxf>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auto="1"/>
      </font>
      <fill>
        <patternFill>
          <bgColor rgb="FFCCFFCC"/>
        </patternFill>
      </fill>
    </dxf>
    <dxf>
      <font>
        <color theme="0"/>
      </font>
      <fill>
        <patternFill>
          <bgColor theme="0"/>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5" tint="0.59996337778862885"/>
        </patternFill>
      </fill>
    </dxf>
    <dxf>
      <font>
        <color rgb="FF9C0006"/>
      </font>
      <fill>
        <patternFill>
          <bgColor theme="5" tint="0.59996337778862885"/>
        </patternFill>
      </fill>
    </dxf>
    <dxf>
      <font>
        <condense val="0"/>
        <extend val="0"/>
        <color indexed="9"/>
      </font>
      <fill>
        <patternFill>
          <bgColor indexed="9"/>
        </patternFill>
      </fill>
      <border>
        <left/>
        <right/>
        <top/>
        <bottom/>
      </border>
    </dxf>
    <dxf>
      <fill>
        <patternFill>
          <bgColor theme="5" tint="0.59996337778862885"/>
        </patternFill>
      </fill>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ill>
        <patternFill>
          <bgColor rgb="FFCCFFCC"/>
        </patternFill>
      </fill>
    </dxf>
    <dxf>
      <font>
        <b/>
        <i val="0"/>
        <condense val="0"/>
        <extend val="0"/>
        <color auto="1"/>
      </font>
      <fill>
        <patternFill>
          <bgColor theme="5" tint="0.59996337778862885"/>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ill>
        <patternFill>
          <bgColor theme="1"/>
        </patternFill>
      </fill>
    </dxf>
    <dxf>
      <fill>
        <patternFill>
          <bgColor theme="1"/>
        </patternFill>
      </fill>
    </dxf>
    <dxf>
      <font>
        <color theme="0"/>
      </font>
    </dxf>
    <dxf>
      <font>
        <b/>
        <i val="0"/>
        <condense val="0"/>
        <extend val="0"/>
        <color auto="1"/>
      </font>
      <fill>
        <patternFill>
          <bgColor theme="5" tint="0.59996337778862885"/>
        </patternFill>
      </fill>
    </dxf>
    <dxf>
      <font>
        <color theme="0"/>
      </font>
      <fill>
        <patternFill>
          <bgColor theme="0"/>
        </patternFill>
      </fill>
      <border>
        <left/>
        <right/>
        <top/>
        <bottom style="thin">
          <color auto="1"/>
        </bottom>
        <vertical/>
        <horizontal/>
      </border>
    </dxf>
    <dxf>
      <fill>
        <patternFill>
          <bgColor theme="5" tint="0.59996337778862885"/>
        </patternFill>
      </fill>
    </dxf>
    <dxf>
      <font>
        <color theme="0"/>
      </font>
      <fill>
        <patternFill>
          <bgColor theme="0"/>
        </patternFill>
      </fill>
      <border>
        <left/>
        <right/>
        <top/>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right/>
        <top/>
        <bottom/>
      </border>
    </dxf>
    <dxf>
      <fill>
        <patternFill patternType="solid">
          <bgColor theme="0"/>
        </patternFill>
      </fill>
      <border>
        <left/>
        <right/>
        <top/>
        <bottom/>
      </border>
    </dxf>
    <dxf>
      <fill>
        <patternFill>
          <bgColor theme="0"/>
        </patternFill>
      </fill>
      <border>
        <left/>
        <right/>
        <top/>
        <bottom/>
      </border>
    </dxf>
    <dxf>
      <font>
        <color theme="0"/>
      </font>
    </dxf>
    <dxf>
      <font>
        <color theme="0"/>
      </font>
      <fill>
        <patternFill>
          <bgColor theme="0"/>
        </patternFill>
      </fill>
      <border>
        <left/>
        <right/>
        <top/>
        <bottom/>
      </border>
    </dxf>
    <dxf>
      <font>
        <color theme="0"/>
      </font>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color rgb="FFE6B8B7"/>
      <color rgb="FFFFFFCC"/>
      <color rgb="FFFFFF99"/>
      <color rgb="FFFFCC99"/>
      <color rgb="FFFFCC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District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District. PMA will not verify the accuracy of the data provided by the District and is not responsible for any inaccuracies or incompleteness that appears in the data provided in this form.</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2</xdr:row>
          <xdr:rowOff>19050</xdr:rowOff>
        </xdr:from>
        <xdr:to>
          <xdr:col>11</xdr:col>
          <xdr:colOff>571500</xdr:colOff>
          <xdr:row>62</xdr:row>
          <xdr:rowOff>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133350</xdr:rowOff>
        </xdr:from>
        <xdr:to>
          <xdr:col>11</xdr:col>
          <xdr:colOff>495300</xdr:colOff>
          <xdr:row>1048575</xdr:row>
          <xdr:rowOff>133350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15</xdr:row>
      <xdr:rowOff>112395</xdr:rowOff>
    </xdr:from>
    <xdr:to>
      <xdr:col>3</xdr:col>
      <xdr:colOff>598170</xdr:colOff>
      <xdr:row>17</xdr:row>
      <xdr:rowOff>15240</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191000" y="3076575"/>
          <a:ext cx="111633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190500</xdr:colOff>
      <xdr:row>14</xdr:row>
      <xdr:rowOff>186690</xdr:rowOff>
    </xdr:from>
    <xdr:to>
      <xdr:col>3</xdr:col>
      <xdr:colOff>571500</xdr:colOff>
      <xdr:row>15</xdr:row>
      <xdr:rowOff>142875</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286250" y="2977515"/>
          <a:ext cx="990600" cy="15621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im\Desktop\Work\MISCELLANEOUS\Presentations\Levy%20Workshop\2023\PMA%20Levy%20Worksheet%20School%20Districts%202023.xlsx" TargetMode="External"/><Relationship Id="rId1" Type="http://schemas.openxmlformats.org/officeDocument/2006/relationships/externalLinkPath" Target="file:///C:\Users\akim\Desktop\Work\MISCELLANEOUS\Presentations\Levy%20Workshop\2023\PMA%20Levy%20Worksheet%20School%20Districts%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structions"/>
      <sheetName val="Input"/>
      <sheetName val="Calculations"/>
      <sheetName val="copyright_disclaimer"/>
      <sheetName val="Tax Calculator - Calculations"/>
      <sheetName val="Extension"/>
      <sheetName val="Tax Calculator - Extension"/>
      <sheetName val="Certificate of Tax Levy"/>
      <sheetName val="Explanation"/>
      <sheetName val="InfoPage"/>
    </sheetNames>
    <sheetDataSet>
      <sheetData sheetId="0"/>
      <sheetData sheetId="1"/>
      <sheetData sheetId="2">
        <row r="5">
          <cell r="C5">
            <v>2023</v>
          </cell>
        </row>
      </sheetData>
      <sheetData sheetId="3"/>
      <sheetData sheetId="4"/>
      <sheetData sheetId="5">
        <row r="7">
          <cell r="Z7">
            <v>3.0026999999999999</v>
          </cell>
        </row>
        <row r="8">
          <cell r="Z8">
            <v>3.0026999999999999</v>
          </cell>
        </row>
        <row r="9">
          <cell r="Z9">
            <v>1</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workbookViewId="0"/>
  </sheetViews>
  <sheetFormatPr defaultRowHeight="12.75" x14ac:dyDescent="0.2"/>
  <sheetData/>
  <sheetProtection algorithmName="SHA-512" hashValue="mWgOCqLCoFpRbLWCBxg4ACoe/U4eseGXg9BZI0tB28Vc4I+/yxxpn0Kc5fQaXSnTRdFqNQWmdx5/RmdNghjiQQ==" saltValue="jKp/ULVgNVDof1bmeyP9uw=="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M103"/>
  <sheetViews>
    <sheetView showGridLines="0" topLeftCell="A50" zoomScaleNormal="100" workbookViewId="0">
      <selection activeCell="L79" sqref="L79"/>
    </sheetView>
  </sheetViews>
  <sheetFormatPr defaultColWidth="0" defaultRowHeight="12.75" zeroHeight="1" x14ac:dyDescent="0.2"/>
  <cols>
    <col min="1" max="12" width="9.140625" customWidth="1"/>
    <col min="13" max="13" width="2.28515625" customWidth="1"/>
    <col min="14" max="16384" width="9.140625" hidden="1"/>
  </cols>
  <sheetData>
    <row r="1" spans="1:3" x14ac:dyDescent="0.2">
      <c r="A1" s="1" t="s">
        <v>26</v>
      </c>
      <c r="B1" s="49"/>
      <c r="C1" s="1"/>
    </row>
    <row r="2" spans="1:3" x14ac:dyDescent="0.2">
      <c r="A2" s="1"/>
      <c r="B2" s="49"/>
      <c r="C2" s="1"/>
    </row>
    <row r="3" spans="1:3" x14ac:dyDescent="0.2"/>
    <row r="4" spans="1:3" x14ac:dyDescent="0.2"/>
    <row r="5" spans="1:3" x14ac:dyDescent="0.2"/>
    <row r="6" spans="1:3" x14ac:dyDescent="0.2"/>
    <row r="7" spans="1:3" x14ac:dyDescent="0.2"/>
    <row r="8" spans="1:3" x14ac:dyDescent="0.2"/>
    <row r="9" spans="1:3" x14ac:dyDescent="0.2"/>
    <row r="10" spans="1:3" x14ac:dyDescent="0.2"/>
    <row r="11" spans="1:3" x14ac:dyDescent="0.2"/>
    <row r="12" spans="1:3" x14ac:dyDescent="0.2"/>
    <row r="13" spans="1:3" x14ac:dyDescent="0.2"/>
    <row r="14" spans="1:3" x14ac:dyDescent="0.2"/>
    <row r="15" spans="1:3" x14ac:dyDescent="0.2"/>
    <row r="16" spans="1:3" x14ac:dyDescent="0.2"/>
    <row r="17" x14ac:dyDescent="0.2"/>
    <row r="18" x14ac:dyDescent="0.2"/>
    <row r="19" x14ac:dyDescent="0.2"/>
    <row r="20" x14ac:dyDescent="0.2"/>
    <row r="21" x14ac:dyDescent="0.2"/>
    <row r="22" x14ac:dyDescent="0.2"/>
    <row r="23" x14ac:dyDescent="0.2"/>
    <row r="24" x14ac:dyDescent="0.2"/>
    <row r="25" x14ac:dyDescent="0.2"/>
    <row r="26" x14ac:dyDescent="0.2"/>
    <row r="27" x14ac:dyDescent="0.2"/>
    <row r="28" x14ac:dyDescent="0.2"/>
    <row r="29" x14ac:dyDescent="0.2"/>
    <row r="30" x14ac:dyDescent="0.2"/>
    <row r="31" x14ac:dyDescent="0.2"/>
    <row r="32"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sheetData>
  <sheetProtection algorithmName="SHA-512" hashValue="p9PAAvcUQ/6yrkRGKa8S4HNdxWRPwbn+AGzrZvVgt9RnZl3YbPpgodrM89jOszrAOZsAp2aJBSYzv71Prz/57g==" saltValue="qAxOTPX+J6XoXwr/u6JhyA=="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104775</xdr:colOff>
                <xdr:row>2</xdr:row>
                <xdr:rowOff>19050</xdr:rowOff>
              </from>
              <to>
                <xdr:col>11</xdr:col>
                <xdr:colOff>571500</xdr:colOff>
                <xdr:row>62</xdr:row>
                <xdr:rowOff>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4" r:id="rId6">
          <objectPr defaultSize="0" autoPict="0" r:id="rId7">
            <anchor moveWithCells="1">
              <from>
                <xdr:col>0</xdr:col>
                <xdr:colOff>0</xdr:colOff>
                <xdr:row>64</xdr:row>
                <xdr:rowOff>133350</xdr:rowOff>
              </from>
              <to>
                <xdr:col>11</xdr:col>
                <xdr:colOff>495300</xdr:colOff>
                <xdr:row>1048575</xdr:row>
                <xdr:rowOff>133350</xdr:rowOff>
              </to>
            </anchor>
          </objectPr>
        </oleObject>
      </mc:Choice>
      <mc:Fallback>
        <oleObject progId="Word.Document.12" shapeId="3074"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65"/>
  <sheetViews>
    <sheetView showGridLines="0" topLeftCell="A17" zoomScaleNormal="100" workbookViewId="0">
      <selection activeCell="C29" sqref="C29"/>
    </sheetView>
  </sheetViews>
  <sheetFormatPr defaultColWidth="0" defaultRowHeight="12.75" zeroHeight="1" x14ac:dyDescent="0.2"/>
  <cols>
    <col min="1" max="1" width="19.42578125" style="1" customWidth="1"/>
    <col min="2" max="2" width="28.42578125" style="13" customWidth="1"/>
    <col min="3" max="3" width="16.140625" style="1" customWidth="1"/>
    <col min="4" max="4" width="18.28515625" style="1" customWidth="1"/>
    <col min="5" max="6" width="14.42578125" style="14" customWidth="1"/>
    <col min="7" max="8" width="14.42578125" style="1" customWidth="1"/>
    <col min="9" max="27" width="9.140625" style="1" hidden="1" customWidth="1"/>
    <col min="28" max="28" width="9.140625" style="12" hidden="1" customWidth="1"/>
    <col min="29" max="16384" width="9.140625" style="1" hidden="1"/>
  </cols>
  <sheetData>
    <row r="1" spans="1:28" x14ac:dyDescent="0.2">
      <c r="A1" s="1" t="s">
        <v>97</v>
      </c>
      <c r="B1" s="49"/>
      <c r="E1" s="1"/>
      <c r="F1" s="1"/>
    </row>
    <row r="2" spans="1:28" x14ac:dyDescent="0.2">
      <c r="A2" s="1" t="s">
        <v>27</v>
      </c>
      <c r="B2" s="49"/>
      <c r="E2" s="1"/>
      <c r="F2" s="1"/>
    </row>
    <row r="3" spans="1:28" s="14" customFormat="1" ht="19.5" thickBot="1" x14ac:dyDescent="0.35">
      <c r="A3" s="77" t="s">
        <v>2</v>
      </c>
      <c r="B3" s="78"/>
      <c r="C3" s="77"/>
      <c r="D3" s="78"/>
      <c r="E3" s="78"/>
      <c r="F3" s="91" t="s">
        <v>32</v>
      </c>
      <c r="G3" s="78"/>
      <c r="H3" s="78"/>
      <c r="AB3" s="15" t="s">
        <v>8</v>
      </c>
    </row>
    <row r="4" spans="1:28" s="14" customFormat="1" ht="15.75" customHeight="1" x14ac:dyDescent="0.2">
      <c r="A4" s="78"/>
      <c r="B4" s="79"/>
      <c r="C4" s="78"/>
      <c r="D4" s="78"/>
      <c r="E4" s="90"/>
      <c r="F4" s="107" t="s">
        <v>30</v>
      </c>
      <c r="G4" s="89"/>
      <c r="H4" s="78"/>
      <c r="AB4" s="15" t="s">
        <v>9</v>
      </c>
    </row>
    <row r="5" spans="1:28" ht="15.75" x14ac:dyDescent="0.25">
      <c r="A5" s="80"/>
      <c r="B5" s="80" t="s">
        <v>49</v>
      </c>
      <c r="C5" s="71">
        <v>2023</v>
      </c>
      <c r="D5" s="81"/>
      <c r="E5" s="75"/>
      <c r="F5" s="105" t="s">
        <v>31</v>
      </c>
      <c r="G5" s="76"/>
      <c r="H5" s="78"/>
    </row>
    <row r="6" spans="1:28" s="14" customFormat="1" ht="15.75" customHeight="1" thickBot="1" x14ac:dyDescent="0.25">
      <c r="A6" s="79"/>
      <c r="B6" s="79"/>
      <c r="C6" s="78"/>
      <c r="D6" s="78"/>
      <c r="E6" s="98"/>
      <c r="F6" s="106" t="s">
        <v>35</v>
      </c>
      <c r="G6" s="99"/>
      <c r="H6" s="78"/>
      <c r="AB6" s="15"/>
    </row>
    <row r="7" spans="1:28" ht="15.75" x14ac:dyDescent="0.25">
      <c r="A7" s="80"/>
      <c r="B7" s="80" t="s">
        <v>39</v>
      </c>
      <c r="C7" s="72"/>
      <c r="D7" s="81" t="s">
        <v>60</v>
      </c>
      <c r="E7" s="78"/>
      <c r="F7" s="78"/>
      <c r="G7" s="78"/>
      <c r="H7" s="78"/>
    </row>
    <row r="8" spans="1:28" ht="15.75" hidden="1" x14ac:dyDescent="0.25">
      <c r="A8" s="80"/>
      <c r="B8" s="80" t="s">
        <v>38</v>
      </c>
      <c r="C8" s="72"/>
      <c r="D8" s="81" t="s">
        <v>61</v>
      </c>
      <c r="E8" s="78"/>
      <c r="F8" s="78"/>
      <c r="G8" s="78"/>
      <c r="H8" s="78"/>
    </row>
    <row r="9" spans="1:28" ht="15.75" x14ac:dyDescent="0.25">
      <c r="A9" s="80"/>
      <c r="B9" s="80" t="s">
        <v>58</v>
      </c>
      <c r="C9" s="72"/>
      <c r="D9" s="81" t="s">
        <v>80</v>
      </c>
      <c r="E9" s="78"/>
      <c r="F9" s="78"/>
      <c r="G9" s="78"/>
      <c r="H9" s="78"/>
    </row>
    <row r="10" spans="1:28" ht="15.75" x14ac:dyDescent="0.25">
      <c r="A10" s="80"/>
      <c r="B10" s="80" t="s">
        <v>40</v>
      </c>
      <c r="C10" s="72"/>
      <c r="D10" s="81" t="s">
        <v>77</v>
      </c>
      <c r="E10" s="78"/>
      <c r="F10" s="78"/>
      <c r="G10" s="78"/>
      <c r="H10" s="78"/>
    </row>
    <row r="11" spans="1:28" ht="15.75" x14ac:dyDescent="0.25">
      <c r="A11" s="80"/>
      <c r="B11" s="80" t="s">
        <v>41</v>
      </c>
      <c r="C11" s="72"/>
      <c r="D11" s="81" t="s">
        <v>79</v>
      </c>
      <c r="E11" s="78"/>
      <c r="F11" s="78"/>
      <c r="G11" s="78"/>
      <c r="H11" s="78"/>
    </row>
    <row r="12" spans="1:28" ht="15.75" x14ac:dyDescent="0.25">
      <c r="A12" s="80"/>
      <c r="B12" s="80" t="s">
        <v>42</v>
      </c>
      <c r="C12" s="72"/>
      <c r="D12" s="81" t="s">
        <v>78</v>
      </c>
      <c r="E12" s="78"/>
      <c r="F12" s="78"/>
      <c r="G12" s="78"/>
      <c r="H12" s="78"/>
    </row>
    <row r="13" spans="1:28" s="14" customFormat="1" x14ac:dyDescent="0.2">
      <c r="A13" s="79"/>
      <c r="B13" s="79"/>
      <c r="C13" s="81" t="s">
        <v>3</v>
      </c>
      <c r="D13" s="78"/>
      <c r="E13" s="78"/>
      <c r="F13" s="78"/>
      <c r="G13" s="78"/>
      <c r="H13" s="78"/>
      <c r="AB13" s="15"/>
    </row>
    <row r="14" spans="1:28" s="14" customFormat="1" ht="13.5" thickBot="1" x14ac:dyDescent="0.25">
      <c r="A14" s="79"/>
      <c r="B14" s="79"/>
      <c r="C14" s="78"/>
      <c r="D14" s="78"/>
      <c r="E14" s="78"/>
      <c r="F14" s="78"/>
      <c r="G14" s="78"/>
      <c r="H14" s="78"/>
      <c r="AB14" s="15"/>
    </row>
    <row r="15" spans="1:28" ht="15.75" customHeight="1" x14ac:dyDescent="0.25">
      <c r="A15" s="82"/>
      <c r="B15" s="80" t="s">
        <v>43</v>
      </c>
      <c r="C15" s="108" t="s">
        <v>9</v>
      </c>
      <c r="D15" s="81" t="s">
        <v>62</v>
      </c>
      <c r="E15" s="214" t="s">
        <v>106</v>
      </c>
      <c r="F15" s="215"/>
      <c r="G15" s="216"/>
      <c r="H15" s="78"/>
    </row>
    <row r="16" spans="1:28" ht="7.9" customHeight="1" x14ac:dyDescent="0.25">
      <c r="A16" s="82"/>
      <c r="B16" s="80"/>
      <c r="C16" s="82"/>
      <c r="D16" s="82"/>
      <c r="E16" s="217"/>
      <c r="F16" s="218"/>
      <c r="G16" s="219"/>
      <c r="H16" s="78"/>
    </row>
    <row r="17" spans="1:28" s="14" customFormat="1" ht="16.5" thickBot="1" x14ac:dyDescent="0.3">
      <c r="A17" s="79"/>
      <c r="B17" s="80" t="s">
        <v>59</v>
      </c>
      <c r="C17" s="108" t="s">
        <v>9</v>
      </c>
      <c r="D17" s="81" t="s">
        <v>62</v>
      </c>
      <c r="E17" s="220"/>
      <c r="F17" s="221"/>
      <c r="G17" s="222"/>
      <c r="H17" s="78"/>
      <c r="AB17" s="15"/>
    </row>
    <row r="18" spans="1:28" s="14" customFormat="1" x14ac:dyDescent="0.2">
      <c r="A18" s="79"/>
      <c r="B18" s="79"/>
      <c r="C18" s="78"/>
      <c r="D18" s="78"/>
      <c r="E18" s="78"/>
      <c r="F18" s="78"/>
      <c r="G18" s="78"/>
      <c r="H18" s="78"/>
      <c r="AB18" s="15"/>
    </row>
    <row r="19" spans="1:28" ht="15.75" hidden="1" x14ac:dyDescent="0.25">
      <c r="A19" s="80"/>
      <c r="B19" s="80" t="s">
        <v>44</v>
      </c>
      <c r="C19" s="72" t="s">
        <v>10</v>
      </c>
      <c r="D19" s="81"/>
      <c r="E19" s="223" t="s">
        <v>104</v>
      </c>
      <c r="F19" s="232"/>
      <c r="G19" s="78"/>
      <c r="H19" s="78"/>
    </row>
    <row r="20" spans="1:28" ht="16.5" hidden="1" thickBot="1" x14ac:dyDescent="0.3">
      <c r="A20" s="80"/>
      <c r="B20" s="80" t="s">
        <v>45</v>
      </c>
      <c r="C20" s="72"/>
      <c r="D20" s="81"/>
      <c r="E20" s="233"/>
      <c r="F20" s="234"/>
      <c r="G20" s="78"/>
      <c r="H20" s="78"/>
    </row>
    <row r="21" spans="1:28" s="14" customFormat="1" hidden="1" x14ac:dyDescent="0.2">
      <c r="A21" s="79"/>
      <c r="B21" s="79"/>
      <c r="C21" s="81" t="s">
        <v>4</v>
      </c>
      <c r="D21" s="78"/>
      <c r="E21" s="78"/>
      <c r="F21" s="78"/>
      <c r="G21" s="78"/>
      <c r="H21" s="78"/>
      <c r="AB21" s="15"/>
    </row>
    <row r="22" spans="1:28" s="14" customFormat="1" hidden="1" x14ac:dyDescent="0.2">
      <c r="A22" s="79"/>
      <c r="B22" s="79"/>
      <c r="C22" s="78"/>
      <c r="D22" s="78"/>
      <c r="E22" s="78"/>
      <c r="F22" s="78"/>
      <c r="G22" s="78"/>
      <c r="H22" s="78"/>
      <c r="AB22" s="15"/>
    </row>
    <row r="23" spans="1:28" s="14" customFormat="1" hidden="1" x14ac:dyDescent="0.2">
      <c r="A23" s="79"/>
      <c r="B23" s="79"/>
      <c r="C23" s="78"/>
      <c r="D23" s="78"/>
      <c r="E23" s="78"/>
      <c r="F23" s="78"/>
      <c r="G23" s="78"/>
      <c r="H23" s="78"/>
      <c r="AB23" s="15"/>
    </row>
    <row r="24" spans="1:28" ht="15.75" x14ac:dyDescent="0.25">
      <c r="A24" s="80"/>
      <c r="B24" s="80" t="s">
        <v>103</v>
      </c>
      <c r="C24" s="147">
        <v>0.05</v>
      </c>
      <c r="D24" s="83" t="str">
        <f>" Lesser of 5% or CPI for Year Ending "&amp;C5-1&amp;", Applies to the "&amp;C5&amp;" Levy"</f>
        <v xml:space="preserve"> Lesser of 5% or CPI for Year Ending 2022, Applies to the 2023 Levy</v>
      </c>
      <c r="E24" s="78"/>
      <c r="F24" s="78"/>
      <c r="G24" s="78"/>
      <c r="H24" s="78"/>
    </row>
    <row r="25" spans="1:28" ht="12.75" customHeight="1" x14ac:dyDescent="0.25">
      <c r="A25" s="80"/>
      <c r="B25" s="80"/>
      <c r="C25" s="78"/>
      <c r="D25" s="83"/>
      <c r="E25" s="78"/>
      <c r="F25" s="78"/>
      <c r="G25" s="78"/>
      <c r="H25" s="78"/>
    </row>
    <row r="26" spans="1:28" ht="15.75" x14ac:dyDescent="0.25">
      <c r="A26" s="80"/>
      <c r="B26" s="80" t="str">
        <f>"Actual Rate Setting EAV for "&amp;C5-1&amp;" "</f>
        <v xml:space="preserve">Actual Rate Setting EAV for 2022 </v>
      </c>
      <c r="C26" s="57"/>
      <c r="D26" s="81" t="str">
        <f>" Enter Actual Rate Setting EAV for "&amp;C5-1&amp;""</f>
        <v xml:space="preserve"> Enter Actual Rate Setting EAV for 2022</v>
      </c>
      <c r="E26" s="78"/>
      <c r="F26" s="78"/>
      <c r="G26" s="78"/>
      <c r="H26" s="78"/>
    </row>
    <row r="27" spans="1:28" x14ac:dyDescent="0.2">
      <c r="A27" s="78"/>
      <c r="B27" s="79"/>
      <c r="C27" s="78"/>
      <c r="D27" s="78"/>
      <c r="E27" s="78"/>
      <c r="F27" s="78"/>
      <c r="G27" s="78"/>
      <c r="H27" s="78"/>
    </row>
    <row r="28" spans="1:28" ht="15.75" x14ac:dyDescent="0.25">
      <c r="A28" s="80"/>
      <c r="B28" s="80" t="str">
        <f>"Estimated Existing EAV % Change for "&amp;C5&amp;" "</f>
        <v xml:space="preserve">Estimated Existing EAV % Change for 2023 </v>
      </c>
      <c r="C28" s="109"/>
      <c r="D28" s="81" t="s">
        <v>64</v>
      </c>
      <c r="E28" s="78"/>
      <c r="F28" s="78"/>
      <c r="G28" s="78"/>
      <c r="H28" s="78"/>
    </row>
    <row r="29" spans="1:28" x14ac:dyDescent="0.2">
      <c r="A29" s="79"/>
      <c r="B29" s="79"/>
      <c r="C29" s="78"/>
      <c r="D29" s="78"/>
      <c r="E29" s="78"/>
      <c r="F29" s="78"/>
      <c r="G29" s="78"/>
      <c r="H29" s="78"/>
    </row>
    <row r="30" spans="1:28" ht="15.75" x14ac:dyDescent="0.25">
      <c r="A30" s="80"/>
      <c r="B30" s="80" t="str">
        <f>"Estimated New Property for "&amp;C5&amp;" "</f>
        <v xml:space="preserve">Estimated New Property for 2023 </v>
      </c>
      <c r="C30" s="57"/>
      <c r="D30" s="81" t="s">
        <v>63</v>
      </c>
      <c r="E30" s="78"/>
      <c r="F30" s="78"/>
      <c r="G30" s="78"/>
      <c r="H30" s="78"/>
    </row>
    <row r="31" spans="1:28" ht="12.75" customHeight="1" x14ac:dyDescent="0.25">
      <c r="A31" s="80"/>
      <c r="B31" s="80"/>
      <c r="C31" s="78"/>
      <c r="D31" s="81"/>
      <c r="E31" s="78"/>
      <c r="F31" s="78"/>
      <c r="G31" s="78"/>
      <c r="H31" s="78"/>
    </row>
    <row r="32" spans="1:28" ht="15.75" x14ac:dyDescent="0.25">
      <c r="A32" s="80"/>
      <c r="B32" s="80" t="str">
        <f>"Estimated Total EAV for "&amp;C5&amp;" "</f>
        <v xml:space="preserve">Estimated Total EAV for 2023 </v>
      </c>
      <c r="C32" s="112">
        <f>C26*(1+C28)+C30</f>
        <v>0</v>
      </c>
      <c r="D32" s="81" t="s">
        <v>36</v>
      </c>
      <c r="E32" s="78"/>
      <c r="F32" s="78"/>
      <c r="G32" s="78"/>
      <c r="H32" s="78"/>
    </row>
    <row r="33" spans="1:8" ht="15.75" x14ac:dyDescent="0.25">
      <c r="A33" s="80"/>
      <c r="B33" s="80" t="s">
        <v>47</v>
      </c>
      <c r="C33" s="110" t="e">
        <f>C32/C26-1</f>
        <v>#DIV/0!</v>
      </c>
      <c r="D33" s="81" t="s">
        <v>36</v>
      </c>
      <c r="E33" s="78"/>
      <c r="F33" s="78"/>
      <c r="G33" s="78"/>
      <c r="H33" s="78"/>
    </row>
    <row r="34" spans="1:8" ht="13.5" thickBot="1" x14ac:dyDescent="0.25">
      <c r="A34" s="78"/>
      <c r="B34" s="78"/>
      <c r="C34" s="78"/>
      <c r="D34" s="78"/>
      <c r="E34" s="78"/>
      <c r="F34" s="78"/>
      <c r="G34" s="78"/>
      <c r="H34" s="78"/>
    </row>
    <row r="35" spans="1:8" ht="15.75" hidden="1" x14ac:dyDescent="0.25">
      <c r="A35" s="80"/>
      <c r="B35" s="84" t="s">
        <v>48</v>
      </c>
      <c r="C35" s="72">
        <v>0</v>
      </c>
      <c r="D35" s="81"/>
      <c r="E35" s="78"/>
      <c r="F35" s="78"/>
      <c r="G35" s="78"/>
      <c r="H35" s="78"/>
    </row>
    <row r="36" spans="1:8" ht="13.5" hidden="1" thickBot="1" x14ac:dyDescent="0.25">
      <c r="A36" s="79"/>
      <c r="B36" s="79"/>
      <c r="C36" s="78"/>
      <c r="D36" s="78"/>
      <c r="E36" s="78"/>
      <c r="F36" s="78"/>
      <c r="G36" s="78"/>
      <c r="H36" s="78"/>
    </row>
    <row r="37" spans="1:8" x14ac:dyDescent="0.2">
      <c r="A37" s="79"/>
      <c r="B37" s="79"/>
      <c r="C37" s="78"/>
      <c r="D37" s="78"/>
      <c r="E37" s="223" t="s">
        <v>105</v>
      </c>
      <c r="F37" s="224"/>
      <c r="G37" s="225"/>
      <c r="H37" s="78"/>
    </row>
    <row r="38" spans="1:8" x14ac:dyDescent="0.2">
      <c r="A38" s="79"/>
      <c r="B38" s="79"/>
      <c r="C38" s="78"/>
      <c r="D38" s="78"/>
      <c r="E38" s="226"/>
      <c r="F38" s="227"/>
      <c r="G38" s="228"/>
      <c r="H38" s="78"/>
    </row>
    <row r="39" spans="1:8" ht="13.5" thickBot="1" x14ac:dyDescent="0.25">
      <c r="A39" s="79"/>
      <c r="B39" s="79"/>
      <c r="C39" s="78"/>
      <c r="D39" s="78"/>
      <c r="E39" s="229"/>
      <c r="F39" s="230"/>
      <c r="G39" s="231"/>
      <c r="H39" s="78"/>
    </row>
    <row r="40" spans="1:8" x14ac:dyDescent="0.2">
      <c r="A40" s="79"/>
      <c r="B40" s="79"/>
      <c r="C40" s="79"/>
      <c r="D40" s="78"/>
      <c r="E40" s="78"/>
      <c r="F40" s="78"/>
      <c r="G40" s="78"/>
      <c r="H40" s="78"/>
    </row>
    <row r="41" spans="1:8" ht="38.25" x14ac:dyDescent="0.2">
      <c r="A41" s="79"/>
      <c r="B41" s="79"/>
      <c r="C41" s="104" t="s">
        <v>81</v>
      </c>
      <c r="D41" s="104" t="str">
        <f>"Total "&amp;C5-1&amp;" Extension for all Counties"</f>
        <v>Total 2022 Extension for all Counties</v>
      </c>
      <c r="E41" s="104" t="str">
        <f>"Input "&amp;C5-1&amp;" "&amp;C9&amp;" County Extension:"</f>
        <v>Input 2022  County Extension:</v>
      </c>
      <c r="F41" s="104" t="str">
        <f>IF(C10="","","Input "&amp;C5-1&amp;" "&amp;C10&amp;" County Extension:")</f>
        <v/>
      </c>
      <c r="G41" s="104" t="str">
        <f>IF(C11="","","Input "&amp;C5-1&amp;" "&amp;C11&amp;" County Extension:")</f>
        <v/>
      </c>
      <c r="H41" s="104" t="str">
        <f>IF(C12="","","Input "&amp;C5-1&amp;" "&amp;C12&amp;" County Extension:")</f>
        <v/>
      </c>
    </row>
    <row r="42" spans="1:8" ht="15.75" x14ac:dyDescent="0.25">
      <c r="A42" s="111" t="str">
        <f>IF($C$15="Yes","N/A"," ")</f>
        <v xml:space="preserve"> </v>
      </c>
      <c r="B42" s="80" t="s">
        <v>140</v>
      </c>
      <c r="C42" s="142"/>
      <c r="D42" s="61">
        <f>SUM(E42:H42)</f>
        <v>0</v>
      </c>
      <c r="E42" s="191"/>
      <c r="F42" s="74"/>
      <c r="G42" s="74"/>
      <c r="H42" s="74"/>
    </row>
    <row r="43" spans="1:8" ht="15.75" x14ac:dyDescent="0.25">
      <c r="A43" s="80"/>
      <c r="B43" s="80" t="s">
        <v>139</v>
      </c>
      <c r="C43" s="142"/>
      <c r="D43" s="61">
        <f t="shared" ref="D43:D53" si="0">SUM(E43:H43)</f>
        <v>0</v>
      </c>
      <c r="E43" s="191"/>
      <c r="F43" s="74"/>
      <c r="G43" s="74"/>
      <c r="H43" s="74"/>
    </row>
    <row r="44" spans="1:8" ht="15.75" x14ac:dyDescent="0.25">
      <c r="A44" s="80"/>
      <c r="B44" s="80" t="s">
        <v>138</v>
      </c>
      <c r="C44" s="142"/>
      <c r="D44" s="61">
        <f t="shared" si="0"/>
        <v>0</v>
      </c>
      <c r="E44" s="191"/>
      <c r="F44" s="74"/>
      <c r="G44" s="74"/>
      <c r="H44" s="74"/>
    </row>
    <row r="45" spans="1:8" ht="15.75" x14ac:dyDescent="0.25">
      <c r="A45" s="80"/>
      <c r="B45" s="80" t="s">
        <v>50</v>
      </c>
      <c r="C45" s="143"/>
      <c r="D45" s="61">
        <f t="shared" si="0"/>
        <v>0</v>
      </c>
      <c r="E45" s="191"/>
      <c r="F45" s="74"/>
      <c r="G45" s="74"/>
      <c r="H45" s="74"/>
    </row>
    <row r="46" spans="1:8" ht="15.75" x14ac:dyDescent="0.25">
      <c r="A46" s="80"/>
      <c r="B46" s="80" t="s">
        <v>137</v>
      </c>
      <c r="C46" s="143"/>
      <c r="D46" s="61">
        <f t="shared" si="0"/>
        <v>0</v>
      </c>
      <c r="E46" s="191"/>
      <c r="F46" s="74"/>
      <c r="G46" s="74"/>
      <c r="H46" s="74"/>
    </row>
    <row r="47" spans="1:8" ht="15.75" x14ac:dyDescent="0.25">
      <c r="A47" s="80"/>
      <c r="B47" s="80" t="s">
        <v>136</v>
      </c>
      <c r="C47" s="143"/>
      <c r="D47" s="61">
        <f t="shared" si="0"/>
        <v>0</v>
      </c>
      <c r="E47" s="191"/>
      <c r="F47" s="74"/>
      <c r="G47" s="74"/>
      <c r="H47" s="74"/>
    </row>
    <row r="48" spans="1:8" ht="15.75" x14ac:dyDescent="0.25">
      <c r="A48" s="80"/>
      <c r="B48" s="80" t="s">
        <v>51</v>
      </c>
      <c r="C48" s="143"/>
      <c r="D48" s="61">
        <f t="shared" si="0"/>
        <v>0</v>
      </c>
      <c r="E48" s="191"/>
      <c r="F48" s="74"/>
      <c r="G48" s="74"/>
      <c r="H48" s="74"/>
    </row>
    <row r="49" spans="1:8" ht="15.75" x14ac:dyDescent="0.25">
      <c r="A49" s="80"/>
      <c r="B49" s="80" t="s">
        <v>134</v>
      </c>
      <c r="C49" s="143"/>
      <c r="D49" s="61">
        <f t="shared" si="0"/>
        <v>0</v>
      </c>
      <c r="E49" s="191"/>
      <c r="F49" s="74"/>
      <c r="G49" s="74"/>
      <c r="H49" s="74"/>
    </row>
    <row r="50" spans="1:8" ht="15.75" x14ac:dyDescent="0.25">
      <c r="A50" s="80"/>
      <c r="B50" s="80" t="s">
        <v>135</v>
      </c>
      <c r="C50" s="142"/>
      <c r="D50" s="61">
        <f t="shared" si="0"/>
        <v>0</v>
      </c>
      <c r="E50" s="191"/>
      <c r="F50" s="74"/>
      <c r="G50" s="74"/>
      <c r="H50" s="74"/>
    </row>
    <row r="51" spans="1:8" ht="15.75" x14ac:dyDescent="0.25">
      <c r="A51" s="84" t="s">
        <v>52</v>
      </c>
      <c r="B51" s="73" t="s">
        <v>141</v>
      </c>
      <c r="C51" s="142"/>
      <c r="D51" s="61">
        <f t="shared" si="0"/>
        <v>0</v>
      </c>
      <c r="E51" s="191"/>
      <c r="F51" s="74"/>
      <c r="G51" s="74"/>
      <c r="H51" s="74"/>
    </row>
    <row r="52" spans="1:8" ht="15.75" x14ac:dyDescent="0.25">
      <c r="A52" s="84" t="s">
        <v>52</v>
      </c>
      <c r="B52" s="73" t="s">
        <v>142</v>
      </c>
      <c r="C52" s="142"/>
      <c r="D52" s="61">
        <f t="shared" si="0"/>
        <v>0</v>
      </c>
      <c r="E52" s="191"/>
      <c r="F52" s="74"/>
      <c r="G52" s="74"/>
      <c r="H52" s="74"/>
    </row>
    <row r="53" spans="1:8" ht="15.75" x14ac:dyDescent="0.25">
      <c r="A53" s="84" t="s">
        <v>52</v>
      </c>
      <c r="B53" s="73" t="s">
        <v>143</v>
      </c>
      <c r="C53" s="142"/>
      <c r="D53" s="61">
        <f t="shared" si="0"/>
        <v>0</v>
      </c>
      <c r="E53" s="191"/>
      <c r="F53" s="74"/>
      <c r="G53" s="74"/>
      <c r="H53" s="74"/>
    </row>
    <row r="54" spans="1:8" ht="15.75" x14ac:dyDescent="0.25">
      <c r="A54" s="80"/>
      <c r="B54" s="85"/>
      <c r="C54" s="80"/>
      <c r="D54" s="86"/>
      <c r="E54" s="79"/>
      <c r="F54" s="79"/>
      <c r="G54" s="79"/>
      <c r="H54" s="79"/>
    </row>
    <row r="55" spans="1:8" ht="15.75" x14ac:dyDescent="0.25">
      <c r="A55" s="78"/>
      <c r="B55" s="78"/>
      <c r="C55" s="80" t="str">
        <f>IF(C15="Yes","Total Capped Extension for "&amp;C5-1&amp;" ","Total Aggregate Extension for "&amp;C5-1&amp;" ")</f>
        <v xml:space="preserve">Total Aggregate Extension for 2022 </v>
      </c>
      <c r="D55" s="68">
        <f>SUM(D42:D53)</f>
        <v>0</v>
      </c>
      <c r="E55" s="192" t="str">
        <f>IF(E42&gt;0,SUM(E42:E53),"")</f>
        <v/>
      </c>
      <c r="F55" s="148" t="str">
        <f>IF(F42&gt;0,SUM(F42:F53),"")</f>
        <v/>
      </c>
      <c r="G55" s="148" t="str">
        <f>IF(G42&gt;0,SUM(G42:G53),"")</f>
        <v/>
      </c>
      <c r="H55" s="148" t="str">
        <f>IF(H42&gt;0,SUM(H42:H53),"")</f>
        <v/>
      </c>
    </row>
    <row r="56" spans="1:8" hidden="1" x14ac:dyDescent="0.2">
      <c r="A56" s="78"/>
      <c r="B56" s="78"/>
      <c r="C56" s="78"/>
      <c r="D56" s="78"/>
      <c r="E56" s="78"/>
      <c r="F56" s="78"/>
      <c r="G56" s="78"/>
      <c r="H56" s="78"/>
    </row>
    <row r="57" spans="1:8" ht="15.75" hidden="1" x14ac:dyDescent="0.25">
      <c r="A57" s="78"/>
      <c r="B57" s="80" t="s">
        <v>98</v>
      </c>
      <c r="C57" s="145">
        <v>0.04</v>
      </c>
      <c r="D57" s="62"/>
      <c r="E57" s="78"/>
      <c r="F57" s="83"/>
      <c r="G57" s="83"/>
      <c r="H57" s="83"/>
    </row>
    <row r="58" spans="1:8" ht="15.75" x14ac:dyDescent="0.25">
      <c r="A58" s="78"/>
      <c r="B58" s="78"/>
      <c r="C58" s="80"/>
      <c r="D58" s="78"/>
      <c r="E58" s="78"/>
      <c r="F58" s="78"/>
      <c r="G58" s="78"/>
      <c r="H58" s="78"/>
    </row>
    <row r="59" spans="1:8" ht="15.75" x14ac:dyDescent="0.25">
      <c r="A59" s="78"/>
      <c r="B59" s="78"/>
      <c r="C59" s="80" t="str">
        <f>"Bond and Interest Extension for "&amp;C5-1&amp;" "</f>
        <v xml:space="preserve">Bond and Interest Extension for 2022 </v>
      </c>
      <c r="D59" s="62"/>
      <c r="E59" s="78"/>
      <c r="F59" s="78"/>
      <c r="G59" s="78"/>
      <c r="H59" s="78"/>
    </row>
    <row r="60" spans="1:8" ht="15.75" x14ac:dyDescent="0.25">
      <c r="A60" s="80"/>
      <c r="B60" s="80"/>
      <c r="C60" s="80"/>
      <c r="D60" s="87"/>
      <c r="E60" s="78"/>
      <c r="F60" s="78"/>
      <c r="G60" s="78"/>
      <c r="H60" s="78"/>
    </row>
    <row r="61" spans="1:8" ht="15.75" x14ac:dyDescent="0.25">
      <c r="A61" s="80"/>
      <c r="B61" s="80"/>
      <c r="C61" s="80" t="str">
        <f>"Total "&amp;C5-1&amp;" Extension "</f>
        <v xml:space="preserve">Total 2022 Extension </v>
      </c>
      <c r="D61" s="68">
        <f>D55+D59+D57</f>
        <v>0</v>
      </c>
      <c r="E61" s="81" t="s">
        <v>28</v>
      </c>
      <c r="F61" s="81"/>
      <c r="G61" s="81"/>
      <c r="H61" s="81"/>
    </row>
    <row r="62" spans="1:8" ht="15.75" x14ac:dyDescent="0.25">
      <c r="A62" s="79"/>
      <c r="B62" s="79"/>
      <c r="C62" s="80"/>
      <c r="D62" s="78"/>
      <c r="E62" s="81"/>
      <c r="F62" s="81"/>
      <c r="G62" s="81"/>
      <c r="H62" s="81"/>
    </row>
    <row r="63" spans="1:8" hidden="1" x14ac:dyDescent="0.2">
      <c r="A63" s="88"/>
      <c r="B63" s="79"/>
      <c r="C63" s="78"/>
      <c r="D63" s="78"/>
      <c r="E63" s="78"/>
      <c r="F63" s="78"/>
      <c r="G63" s="78"/>
      <c r="H63" s="78"/>
    </row>
    <row r="64" spans="1:8" hidden="1" x14ac:dyDescent="0.2">
      <c r="A64" s="88"/>
      <c r="B64" s="79"/>
      <c r="C64" s="78"/>
      <c r="D64" s="78"/>
      <c r="E64" s="78"/>
      <c r="F64" s="78"/>
      <c r="G64" s="78"/>
      <c r="H64" s="78"/>
    </row>
    <row r="65" spans="1:8" hidden="1" x14ac:dyDescent="0.2">
      <c r="A65" s="79"/>
      <c r="B65" s="79"/>
      <c r="C65" s="79"/>
      <c r="D65" s="78"/>
      <c r="E65" s="78"/>
      <c r="F65" s="78"/>
      <c r="G65" s="78"/>
      <c r="H65" s="78"/>
    </row>
  </sheetData>
  <sheetProtection algorithmName="SHA-512" hashValue="NTUNBrSBneIL0Wu95B76IVO7txEqNYGVFZtlsDBRk8Y/QTZUjTZoJnVW468+GdrYsLxo5L6lUYsz4chogOhxbA==" saltValue="P7JlhHXYt0ylMuLQzVvfWg==" spinCount="100000" sheet="1" objects="1" scenarios="1"/>
  <mergeCells count="3">
    <mergeCell ref="E15:G17"/>
    <mergeCell ref="E37:G39"/>
    <mergeCell ref="E19:F20"/>
  </mergeCells>
  <phoneticPr fontId="3" type="noConversion"/>
  <conditionalFormatting sqref="A17">
    <cfRule type="expression" dxfId="111" priority="21" stopIfTrue="1">
      <formula>$C$15="No"</formula>
    </cfRule>
  </conditionalFormatting>
  <conditionalFormatting sqref="A24:B25">
    <cfRule type="expression" dxfId="110" priority="9" stopIfTrue="1">
      <formula>$C$15="No"</formula>
    </cfRule>
  </conditionalFormatting>
  <conditionalFormatting sqref="C24">
    <cfRule type="expression" dxfId="109" priority="22" stopIfTrue="1">
      <formula>$C$15="No"</formula>
    </cfRule>
  </conditionalFormatting>
  <conditionalFormatting sqref="D24:D25">
    <cfRule type="expression" dxfId="108" priority="8" stopIfTrue="1">
      <formula>$C$15="No"</formula>
    </cfRule>
  </conditionalFormatting>
  <conditionalFormatting sqref="F42">
    <cfRule type="expression" dxfId="107" priority="27" stopIfTrue="1">
      <formula>$C$10=""</formula>
    </cfRule>
  </conditionalFormatting>
  <conditionalFormatting sqref="F43:F53">
    <cfRule type="expression" dxfId="106" priority="24" stopIfTrue="1">
      <formula>$C$10=""</formula>
    </cfRule>
  </conditionalFormatting>
  <conditionalFormatting sqref="F55">
    <cfRule type="expression" dxfId="105" priority="1" stopIfTrue="1">
      <formula>$C$10=""</formula>
    </cfRule>
  </conditionalFormatting>
  <conditionalFormatting sqref="F41:H41">
    <cfRule type="expression" dxfId="104" priority="23" stopIfTrue="1">
      <formula>$C$10=""</formula>
    </cfRule>
  </conditionalFormatting>
  <conditionalFormatting sqref="G42:G53">
    <cfRule type="expression" dxfId="103" priority="25" stopIfTrue="1">
      <formula>$C$11=""</formula>
    </cfRule>
  </conditionalFormatting>
  <conditionalFormatting sqref="G55">
    <cfRule type="expression" dxfId="102" priority="2" stopIfTrue="1">
      <formula>$C$11=""</formula>
    </cfRule>
  </conditionalFormatting>
  <conditionalFormatting sqref="H42:H53">
    <cfRule type="expression" dxfId="101" priority="26" stopIfTrue="1">
      <formula>$C$12=""</formula>
    </cfRule>
  </conditionalFormatting>
  <conditionalFormatting sqref="H55">
    <cfRule type="expression" dxfId="100" priority="3" stopIfTrue="1">
      <formula>$C$12=""</formula>
    </cfRule>
  </conditionalFormatting>
  <dataValidations count="2">
    <dataValidation type="list" showInputMessage="1" showErrorMessage="1" error="Please input only Yes or No" prompt="Is the District subject to PTELL - Tax Cap?" sqref="C15" xr:uid="{00000000-0002-0000-0200-000000000000}">
      <formula1>$AB$3:$AB$4</formula1>
    </dataValidation>
    <dataValidation type="list" showInputMessage="1" showErrorMessage="1" error="Please input only Yes or No" prompt="This determines individual fund maximums on the Calculations and Extension tabs" sqref="C17" xr:uid="{00000000-0002-0000-0200-000001000000}">
      <formula1>$AB$3:$AB$4</formula1>
    </dataValidation>
  </dataValidations>
  <pageMargins left="0.5" right="0.5" top="0.5" bottom="0.5" header="0.5" footer="0.5"/>
  <pageSetup scale="79" orientation="portrait" r:id="rId1"/>
  <headerFooter alignWithMargins="0"/>
  <ignoredErrors>
    <ignoredError sqref="E55:H55"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40"/>
  <sheetViews>
    <sheetView showGridLines="0" topLeftCell="A19" zoomScaleNormal="100" workbookViewId="0">
      <selection activeCell="G35" sqref="G35"/>
    </sheetView>
  </sheetViews>
  <sheetFormatPr defaultColWidth="0" defaultRowHeight="12.75" zeroHeight="1" x14ac:dyDescent="0.2"/>
  <cols>
    <col min="1" max="1" width="38.5703125" style="1" customWidth="1"/>
    <col min="2" max="2" width="18.28515625" style="1" customWidth="1"/>
    <col min="3" max="3" width="15.42578125" style="1" customWidth="1"/>
    <col min="4" max="4" width="23" style="1" bestFit="1" customWidth="1"/>
    <col min="5" max="5" width="1.5703125" style="1" customWidth="1"/>
    <col min="6" max="6" width="21.7109375" style="1" customWidth="1"/>
    <col min="7" max="7" width="19.140625" style="1" customWidth="1"/>
    <col min="8" max="8" width="19" style="1" customWidth="1"/>
    <col min="9" max="9" width="2.85546875" style="1" customWidth="1"/>
    <col min="10" max="10" width="19" style="1" customWidth="1"/>
    <col min="11" max="12" width="11.7109375" style="1" customWidth="1"/>
    <col min="13" max="13" width="0.85546875" style="1" customWidth="1"/>
    <col min="14" max="16384" width="0" style="1" hidden="1"/>
  </cols>
  <sheetData>
    <row r="1" spans="1:12" ht="15.75" customHeight="1" thickBot="1" x14ac:dyDescent="0.3">
      <c r="H1" s="50" t="s">
        <v>33</v>
      </c>
      <c r="J1" s="238" t="s">
        <v>32</v>
      </c>
      <c r="K1" s="238"/>
      <c r="L1" s="238"/>
    </row>
    <row r="2" spans="1:12" ht="15.75" customHeight="1" x14ac:dyDescent="0.3">
      <c r="A2" s="254" t="str">
        <f>Input!$C$5&amp;" LEVY CALCULATION PAGE "</f>
        <v xml:space="preserve">2023 LEVY CALCULATION PAGE </v>
      </c>
      <c r="B2" s="254"/>
      <c r="F2" s="2"/>
      <c r="G2" s="2" t="s">
        <v>46</v>
      </c>
      <c r="H2" s="96">
        <f>Input!$C$24</f>
        <v>0.05</v>
      </c>
      <c r="J2" s="245" t="s">
        <v>30</v>
      </c>
      <c r="K2" s="246"/>
      <c r="L2" s="247"/>
    </row>
    <row r="3" spans="1:12" ht="15.75" customHeight="1" x14ac:dyDescent="0.25">
      <c r="F3" s="49"/>
      <c r="G3" s="2" t="str">
        <f>"Actual Total EAV for "&amp;Input!C5-1&amp;" "</f>
        <v xml:space="preserve">Actual Total EAV for 2022 </v>
      </c>
      <c r="H3" s="55">
        <f>Input!$C$26</f>
        <v>0</v>
      </c>
      <c r="J3" s="248" t="s">
        <v>31</v>
      </c>
      <c r="K3" s="249"/>
      <c r="L3" s="250"/>
    </row>
    <row r="4" spans="1:12" ht="16.5" thickBot="1" x14ac:dyDescent="0.3">
      <c r="F4" s="2"/>
      <c r="I4" s="51"/>
      <c r="J4" s="251" t="s">
        <v>35</v>
      </c>
      <c r="K4" s="252"/>
      <c r="L4" s="253"/>
    </row>
    <row r="5" spans="1:12" ht="15.75" customHeight="1" x14ac:dyDescent="0.25">
      <c r="A5" s="244" t="s">
        <v>5</v>
      </c>
      <c r="B5" s="255" t="s">
        <v>7</v>
      </c>
      <c r="C5" s="255"/>
      <c r="D5" s="255"/>
      <c r="F5" s="2"/>
      <c r="G5" s="2" t="str">
        <f>"Estimated Existing EAV % change for "&amp;Input!C5&amp;" "</f>
        <v xml:space="preserve">Estimated Existing EAV % change for 2023 </v>
      </c>
      <c r="H5" s="96">
        <f>Input!$C$28</f>
        <v>0</v>
      </c>
      <c r="I5" s="51"/>
    </row>
    <row r="6" spans="1:12" ht="15.75" customHeight="1" x14ac:dyDescent="0.25">
      <c r="A6" s="244"/>
      <c r="B6" s="241" t="s">
        <v>29</v>
      </c>
      <c r="C6" s="241"/>
      <c r="D6" s="241"/>
      <c r="F6" s="2"/>
      <c r="G6" s="2" t="str">
        <f>"Estimated Existing EAV Value for "&amp;Input!C5&amp;" "</f>
        <v xml:space="preserve">Estimated Existing EAV Value for 2023 </v>
      </c>
      <c r="H6" s="55">
        <f>H3*(1+H5)</f>
        <v>0</v>
      </c>
      <c r="I6" s="51"/>
    </row>
    <row r="7" spans="1:12" ht="15.75" customHeight="1" x14ac:dyDescent="0.2">
      <c r="F7" s="49"/>
      <c r="G7" s="49"/>
    </row>
    <row r="8" spans="1:12" ht="15.75" x14ac:dyDescent="0.25">
      <c r="F8" s="2"/>
      <c r="G8" s="2" t="str">
        <f>"Estimated New Property for "&amp;Input!C5&amp;" "</f>
        <v xml:space="preserve">Estimated New Property for 2023 </v>
      </c>
      <c r="H8" s="55">
        <f>Input!$C$30</f>
        <v>0</v>
      </c>
    </row>
    <row r="9" spans="1:12" ht="15.75" x14ac:dyDescent="0.25">
      <c r="A9" s="5" t="s">
        <v>54</v>
      </c>
      <c r="B9" s="100" t="str">
        <f>IF(Input!C15="Yes",Input!D55*(1+MIN(0.05,Input!$C$24))/(Input!$C$32-Input!C30)*100,"N/A")</f>
        <v>N/A</v>
      </c>
      <c r="C9" s="6"/>
    </row>
    <row r="10" spans="1:12" ht="15.75" x14ac:dyDescent="0.25">
      <c r="A10" s="5" t="s">
        <v>55</v>
      </c>
      <c r="B10" s="65" t="str">
        <f>IF(Input!C15="Yes",(B9*Input!C32)/100,"N/A")</f>
        <v>N/A</v>
      </c>
      <c r="C10" s="7"/>
      <c r="F10" s="2"/>
      <c r="G10" s="2" t="str">
        <f>"Estimated Total EAV for "&amp;Input!C5&amp;" "</f>
        <v xml:space="preserve">Estimated Total EAV for 2023 </v>
      </c>
      <c r="H10" s="97">
        <f>Input!$C$32</f>
        <v>0</v>
      </c>
      <c r="I10" s="51" t="s">
        <v>36</v>
      </c>
    </row>
    <row r="11" spans="1:12" ht="15.75" x14ac:dyDescent="0.25">
      <c r="F11" s="2"/>
      <c r="G11" s="2" t="str">
        <f>"Estimated Total EAV % change for "&amp;Input!C5&amp;" "</f>
        <v xml:space="preserve">Estimated Total EAV % change for 2023 </v>
      </c>
      <c r="H11" s="95" t="e">
        <f>Input!$C$33</f>
        <v>#DIV/0!</v>
      </c>
      <c r="I11" s="51" t="s">
        <v>36</v>
      </c>
    </row>
    <row r="12" spans="1:12" ht="12.75" customHeight="1" x14ac:dyDescent="0.2">
      <c r="F12" s="240" t="str">
        <f>IF(Input!C15="Yes","Weighted Extension Based on Prior Year Extension","Individual Fund Estimated Maximum Extension")</f>
        <v>Individual Fund Estimated Maximum Extension</v>
      </c>
      <c r="G12" s="240" t="str">
        <f>IF(Input!C15="Yes","Levy Amount $","Levy Amount $")</f>
        <v>Levy Amount $</v>
      </c>
      <c r="H12" s="242" t="s">
        <v>95</v>
      </c>
    </row>
    <row r="13" spans="1:12" ht="36" customHeight="1" x14ac:dyDescent="0.2">
      <c r="B13" s="8" t="s">
        <v>53</v>
      </c>
      <c r="C13" s="8" t="s">
        <v>82</v>
      </c>
      <c r="D13" s="8" t="str">
        <f>IF(Input!$C$17="no","Individual Fund Estimated Maximum Extension","Individual Fund Estimated Maximum Extension using Prior Year EAV")</f>
        <v>Individual Fund Estimated Maximum Extension</v>
      </c>
      <c r="F13" s="243"/>
      <c r="G13" s="243"/>
      <c r="H13" s="243"/>
      <c r="J13" s="9" t="s">
        <v>96</v>
      </c>
      <c r="K13" s="240" t="s">
        <v>84</v>
      </c>
      <c r="L13" s="240"/>
    </row>
    <row r="14" spans="1:12" ht="15.75" x14ac:dyDescent="0.25">
      <c r="A14" s="80" t="str">
        <f>Input!B42</f>
        <v xml:space="preserve">Corporate </v>
      </c>
      <c r="B14" s="66">
        <f>Input!D42</f>
        <v>0</v>
      </c>
      <c r="C14" s="144">
        <f>Input!C42</f>
        <v>0</v>
      </c>
      <c r="D14" s="66">
        <f>IF(Input!$C$17="no",C14*Input!$C$32,C14*($H$3+$H$8))/100</f>
        <v>0</v>
      </c>
      <c r="F14" s="66">
        <f>IF(Input!$C$15="Yes",B14/$B$28*$B$10,D14)</f>
        <v>0</v>
      </c>
      <c r="G14" s="57"/>
      <c r="H14" s="67"/>
      <c r="J14" s="66">
        <f>ROUNDUP(IF(G14="",F14*(1+H14),G14*(1+H14)),0)</f>
        <v>0</v>
      </c>
      <c r="K14" s="235" t="str">
        <f>IF(Input!$C$15="Yes","",IF(J14&gt;=D14,"YES","NO"))</f>
        <v>YES</v>
      </c>
      <c r="L14" s="236"/>
    </row>
    <row r="15" spans="1:12" ht="15.75" x14ac:dyDescent="0.25">
      <c r="A15" s="80" t="str">
        <f>Input!B43</f>
        <v xml:space="preserve">Working Cash Funds </v>
      </c>
      <c r="B15" s="66">
        <f>Input!D43</f>
        <v>0</v>
      </c>
      <c r="C15" s="144">
        <f>Input!C43</f>
        <v>0</v>
      </c>
      <c r="D15" s="66">
        <f>IF(Input!$C$17="no",C15*Input!$C$32,C15*($H$3+$H$8))/100</f>
        <v>0</v>
      </c>
      <c r="F15" s="66">
        <f>IF(Input!$C$15="Yes",B15/$B$28*$B$10,D15)</f>
        <v>0</v>
      </c>
      <c r="G15" s="57"/>
      <c r="H15" s="67"/>
      <c r="J15" s="66">
        <f>ROUNDUP(IF(G15="",F15*(1+H15),G15*(1+H15)),0)</f>
        <v>0</v>
      </c>
      <c r="K15" s="235" t="str">
        <f>IF(Input!$C$15="Yes","",IF(J15&gt;=D15,"YES","NO"))</f>
        <v>YES</v>
      </c>
      <c r="L15" s="236"/>
    </row>
    <row r="16" spans="1:12" ht="15.75" x14ac:dyDescent="0.25">
      <c r="A16" s="80" t="str">
        <f>Input!B44</f>
        <v xml:space="preserve">Audit </v>
      </c>
      <c r="B16" s="66">
        <f>Input!D44</f>
        <v>0</v>
      </c>
      <c r="C16" s="144">
        <f>Input!C44</f>
        <v>0</v>
      </c>
      <c r="D16" s="66">
        <f>IF(Input!$C$17="no",C16*Input!$C$32,C16*($H$3+$H$8))/100</f>
        <v>0</v>
      </c>
      <c r="F16" s="66">
        <f>IF(Input!$C$15="Yes",B16/$B$28*$B$10,D16)</f>
        <v>0</v>
      </c>
      <c r="G16" s="57"/>
      <c r="H16" s="67"/>
      <c r="J16" s="66">
        <f>ROUNDUP(IF(G16="",F16*(1+H16),G16*(1+H16)),0)</f>
        <v>0</v>
      </c>
      <c r="K16" s="235" t="str">
        <f>IF(Input!$C$15="Yes","",IF(J16&gt;=D16,"YES","NO"))</f>
        <v>YES</v>
      </c>
      <c r="L16" s="236"/>
    </row>
    <row r="17" spans="1:12" ht="15.75" x14ac:dyDescent="0.25">
      <c r="A17" s="80" t="str">
        <f>Input!B45</f>
        <v xml:space="preserve">Municipal Retirement </v>
      </c>
      <c r="B17" s="66">
        <f>Input!D45</f>
        <v>0</v>
      </c>
      <c r="C17" s="144">
        <f>Input!C45</f>
        <v>0</v>
      </c>
      <c r="D17" s="16" t="str">
        <f>IF(Input!C15="Yes","$0.00 ","Input in Manual Override")</f>
        <v>Input in Manual Override</v>
      </c>
      <c r="F17" s="66" t="str">
        <f>IF(Input!$C$15="Yes",B17/$B$28*$B$10,"Levy Amount $ Required")</f>
        <v>Levy Amount $ Required</v>
      </c>
      <c r="G17" s="57"/>
      <c r="H17" s="67"/>
      <c r="J17" s="66" t="e">
        <f t="shared" ref="J17:J21" si="0">ROUND(IF(G17="",F17*(1+H17),G17*(1+H17)),0)</f>
        <v>#VALUE!</v>
      </c>
      <c r="K17" s="235" t="str">
        <f>IF(Input!$C$15="Yes"," ","N/A")</f>
        <v>N/A</v>
      </c>
      <c r="L17" s="236"/>
    </row>
    <row r="18" spans="1:12" ht="15.75" x14ac:dyDescent="0.25">
      <c r="A18" s="80" t="str">
        <f>Input!B46</f>
        <v xml:space="preserve">Unemployment Insurance </v>
      </c>
      <c r="B18" s="66">
        <f>Input!D46</f>
        <v>0</v>
      </c>
      <c r="C18" s="144">
        <f>Input!C46</f>
        <v>0</v>
      </c>
      <c r="D18" s="16" t="str">
        <f>IF(Input!C16="Yes","$0.00 ","Input in Manual Override")</f>
        <v>Input in Manual Override</v>
      </c>
      <c r="F18" s="66" t="str">
        <f>IF(Input!$C$15="Yes",B18/$B$28*$B$10,"Levy Amount $ Required")</f>
        <v>Levy Amount $ Required</v>
      </c>
      <c r="G18" s="57"/>
      <c r="H18" s="67"/>
      <c r="J18" s="66" t="e">
        <f t="shared" si="0"/>
        <v>#VALUE!</v>
      </c>
      <c r="K18" s="235"/>
      <c r="L18" s="236"/>
    </row>
    <row r="19" spans="1:12" ht="15.75" x14ac:dyDescent="0.25">
      <c r="A19" s="80" t="str">
        <f>Input!B47</f>
        <v xml:space="preserve">Workman's Compensation </v>
      </c>
      <c r="B19" s="66">
        <f>Input!D47</f>
        <v>0</v>
      </c>
      <c r="C19" s="144">
        <f>Input!C47</f>
        <v>0</v>
      </c>
      <c r="D19" s="16" t="str">
        <f>IF(Input!C17="Yes","$0.00 ","Input in Manual Override")</f>
        <v>Input in Manual Override</v>
      </c>
      <c r="F19" s="66" t="str">
        <f>IF(Input!$C$15="Yes",B19/$B$28*$B$10,"Levy Amount $ Required")</f>
        <v>Levy Amount $ Required</v>
      </c>
      <c r="G19" s="57"/>
      <c r="H19" s="67"/>
      <c r="J19" s="66" t="e">
        <f t="shared" si="0"/>
        <v>#VALUE!</v>
      </c>
      <c r="K19" s="235"/>
      <c r="L19" s="236"/>
    </row>
    <row r="20" spans="1:12" ht="15.75" x14ac:dyDescent="0.25">
      <c r="A20" s="80" t="str">
        <f>Input!B48</f>
        <v xml:space="preserve">Social Security </v>
      </c>
      <c r="B20" s="66">
        <f>Input!D48</f>
        <v>0</v>
      </c>
      <c r="C20" s="144">
        <f>Input!C48</f>
        <v>0</v>
      </c>
      <c r="D20" s="16" t="str">
        <f>IF(Input!C15="Yes","$0.00 ","Input in Manual Override")</f>
        <v>Input in Manual Override</v>
      </c>
      <c r="F20" s="66" t="str">
        <f>IF(Input!$C$15="Yes",B20/$B$28*$B$10,"Levy Amount $ Required")</f>
        <v>Levy Amount $ Required</v>
      </c>
      <c r="G20" s="57"/>
      <c r="H20" s="67"/>
      <c r="J20" s="66" t="e">
        <f t="shared" si="0"/>
        <v>#VALUE!</v>
      </c>
      <c r="K20" s="235" t="str">
        <f>IF(Input!$C$15="Yes"," ","N/A")</f>
        <v>N/A</v>
      </c>
      <c r="L20" s="236"/>
    </row>
    <row r="21" spans="1:12" ht="15.75" x14ac:dyDescent="0.25">
      <c r="A21" s="80" t="str">
        <f>Input!B49</f>
        <v xml:space="preserve">Liability Insurance </v>
      </c>
      <c r="B21" s="66">
        <f>Input!D49</f>
        <v>0</v>
      </c>
      <c r="C21" s="144">
        <f>Input!C49</f>
        <v>0</v>
      </c>
      <c r="D21" s="16" t="str">
        <f>IF(Input!C15="Yes","$0.00 ","Input in Manual Override")</f>
        <v>Input in Manual Override</v>
      </c>
      <c r="F21" s="66" t="str">
        <f>IF(Input!$C$15="Yes",B21/$B$28*$B$10,"Levy Amount $ Required")</f>
        <v>Levy Amount $ Required</v>
      </c>
      <c r="G21" s="57"/>
      <c r="H21" s="67"/>
      <c r="J21" s="66" t="e">
        <f t="shared" si="0"/>
        <v>#VALUE!</v>
      </c>
      <c r="K21" s="235" t="str">
        <f>IF(Input!$C$15="Yes"," ","N/A")</f>
        <v>N/A</v>
      </c>
      <c r="L21" s="236"/>
    </row>
    <row r="22" spans="1:12" ht="15.75" x14ac:dyDescent="0.25">
      <c r="A22" s="80" t="str">
        <f>Input!B50</f>
        <v xml:space="preserve">Buildings Equipment and Maintenance </v>
      </c>
      <c r="B22" s="66">
        <f>Input!D50</f>
        <v>0</v>
      </c>
      <c r="C22" s="144">
        <f>Input!C50</f>
        <v>0</v>
      </c>
      <c r="D22" s="66">
        <f>IF(Input!$C$17="no",C22*Input!$C$32,C22*($H$3+$H$8))/100</f>
        <v>0</v>
      </c>
      <c r="F22" s="66">
        <f>IF(Input!$C$15="Yes",B22/$B$28*$B$10,D22)</f>
        <v>0</v>
      </c>
      <c r="G22" s="57"/>
      <c r="H22" s="67"/>
      <c r="J22" s="66">
        <f>ROUNDUP(IF(G22="",F22*(1+H22),G22*(1+H22)),0)</f>
        <v>0</v>
      </c>
      <c r="K22" s="235" t="str">
        <f>IF(Input!$C$15="Yes","",IF(J22&gt;=D22,"YES","NO"))</f>
        <v>YES</v>
      </c>
      <c r="L22" s="236"/>
    </row>
    <row r="23" spans="1:12" ht="15.75" x14ac:dyDescent="0.25">
      <c r="A23" s="80" t="str">
        <f>Input!B51</f>
        <v xml:space="preserve">Custom 1 </v>
      </c>
      <c r="B23" s="66">
        <f>Input!D51</f>
        <v>0</v>
      </c>
      <c r="C23" s="144">
        <f>Input!C51</f>
        <v>0</v>
      </c>
      <c r="D23" s="66">
        <f>IF(Input!$C$17="no",C23*Input!$C$32,C23*($H$3+$H$8))/100</f>
        <v>0</v>
      </c>
      <c r="F23" s="66">
        <f>IF(Input!$C$15="Yes",B23/$B$28*$B$10,D23)</f>
        <v>0</v>
      </c>
      <c r="G23" s="57"/>
      <c r="H23" s="67"/>
      <c r="J23" s="66">
        <f t="shared" ref="J23:J24" si="1">ROUNDUP(IF(G23="",F23*(1+H23),G23*(1+H23)),0)</f>
        <v>0</v>
      </c>
      <c r="K23" s="235" t="str">
        <f>IF(Input!$C$15="Yes","",IF(J23&gt;=D23,"YES","NO"))</f>
        <v>YES</v>
      </c>
      <c r="L23" s="236"/>
    </row>
    <row r="24" spans="1:12" ht="15.75" x14ac:dyDescent="0.25">
      <c r="A24" s="80" t="str">
        <f>Input!B52</f>
        <v xml:space="preserve">Custom 2 </v>
      </c>
      <c r="B24" s="66">
        <f>Input!D52</f>
        <v>0</v>
      </c>
      <c r="C24" s="144">
        <f>Input!C52</f>
        <v>0</v>
      </c>
      <c r="D24" s="66">
        <f>IF(Input!$C$17="no",C24*Input!$C$32,C24*($H$3+$H$8))/100</f>
        <v>0</v>
      </c>
      <c r="F24" s="66">
        <f>IF(Input!$C$15="Yes",B24/$B$28*$B$10,D24)</f>
        <v>0</v>
      </c>
      <c r="G24" s="57"/>
      <c r="H24" s="67"/>
      <c r="J24" s="66">
        <f t="shared" si="1"/>
        <v>0</v>
      </c>
      <c r="K24" s="235" t="str">
        <f>IF(Input!$C$15="Yes","",IF(J24&gt;=D24,"YES","NO"))</f>
        <v>YES</v>
      </c>
      <c r="L24" s="236"/>
    </row>
    <row r="25" spans="1:12" ht="15.75" x14ac:dyDescent="0.25">
      <c r="A25" s="80" t="str">
        <f>Input!B53</f>
        <v xml:space="preserve">Custom 3 </v>
      </c>
      <c r="B25" s="66">
        <f>Input!D53</f>
        <v>0</v>
      </c>
      <c r="C25" s="144">
        <f>Input!C53</f>
        <v>0</v>
      </c>
      <c r="D25" s="66">
        <f>IF(Input!$C$17="no",C25*Input!$C$32,C25*($H$3+$H$8))/100</f>
        <v>0</v>
      </c>
      <c r="F25" s="66">
        <f>IF(Input!$C$15="Yes",B25/$B$28*$B$10,D25)</f>
        <v>0</v>
      </c>
      <c r="G25" s="57"/>
      <c r="H25" s="67"/>
      <c r="J25" s="66">
        <f>ROUNDUP(IF(G25="",F25*(1+H25),G25*(1+H25)),0)</f>
        <v>0</v>
      </c>
      <c r="K25" s="235" t="str">
        <f>IF(Input!$C$15="Yes","",IF(J25&gt;=D25,"YES","NO"))</f>
        <v>YES</v>
      </c>
      <c r="L25" s="236"/>
    </row>
    <row r="26" spans="1:12" s="78" customFormat="1" ht="8.25" customHeight="1" x14ac:dyDescent="0.25">
      <c r="A26" s="80"/>
      <c r="B26" s="130"/>
      <c r="C26" s="131"/>
      <c r="D26" s="130"/>
      <c r="F26" s="130"/>
      <c r="G26" s="132"/>
      <c r="H26" s="133"/>
      <c r="J26" s="130"/>
    </row>
    <row r="27" spans="1:12" ht="21" customHeight="1" thickBot="1" x14ac:dyDescent="0.25">
      <c r="B27" s="3"/>
      <c r="C27" s="3"/>
      <c r="K27" s="239" t="s">
        <v>6</v>
      </c>
      <c r="L27" s="239"/>
    </row>
    <row r="28" spans="1:12" ht="16.5" thickBot="1" x14ac:dyDescent="0.3">
      <c r="A28" s="2" t="str">
        <f>IF(Input!C15="Yes","Capped Extension ","Extension  ")</f>
        <v xml:space="preserve">Extension  </v>
      </c>
      <c r="B28" s="68">
        <f>SUM(B14:B25)</f>
        <v>0</v>
      </c>
      <c r="C28" s="136"/>
      <c r="D28" s="137">
        <f>SUM(D14:D25)</f>
        <v>0</v>
      </c>
      <c r="F28" s="68">
        <f>SUM(F14:F25)</f>
        <v>0</v>
      </c>
      <c r="G28" s="137">
        <f>SUM(G14:G27)</f>
        <v>0</v>
      </c>
      <c r="I28" s="2" t="str">
        <f>IF(Input!C15="Yes","Capped Levy ","District Levy ")</f>
        <v xml:space="preserve">District Levy </v>
      </c>
      <c r="J28" s="69" t="e">
        <f>SUM(J14:J25)</f>
        <v>#VALUE!</v>
      </c>
      <c r="K28" s="129" t="e">
        <f>(J28+J32)/(B28+B32)-1</f>
        <v>#VALUE!</v>
      </c>
      <c r="L28" s="128" t="e">
        <f>IF(K28&gt;0.05,"YES","NO")</f>
        <v>#VALUE!</v>
      </c>
    </row>
    <row r="29" spans="1:12" ht="16.5" thickBot="1" x14ac:dyDescent="0.3">
      <c r="A29" s="2"/>
      <c r="J29" s="81"/>
      <c r="K29" s="237" t="s">
        <v>83</v>
      </c>
      <c r="L29" s="237"/>
    </row>
    <row r="30" spans="1:12" ht="16.5" thickBot="1" x14ac:dyDescent="0.3">
      <c r="A30" s="2"/>
      <c r="G30" s="78"/>
      <c r="H30" s="78"/>
      <c r="I30" s="80" t="str">
        <f>IF(J30&lt;0,"Levy Amount Below Estimated Extension ","Levy Amount Above Estimated Extension ")</f>
        <v xml:space="preserve">Levy Amount Above Estimated Extension </v>
      </c>
      <c r="J30" s="70" t="str">
        <f>IF(Input!C15="Yes",J28-B10,"N/A")</f>
        <v>N/A</v>
      </c>
    </row>
    <row r="31" spans="1:12" ht="16.5" hidden="1" thickBot="1" x14ac:dyDescent="0.3">
      <c r="A31" s="2"/>
      <c r="D31" s="2" t="s">
        <v>101</v>
      </c>
      <c r="F31" s="146">
        <v>0</v>
      </c>
      <c r="G31" s="135" t="str">
        <f>IF(F31&gt;4%," ALERT - Special Recreation Rate Can Not Exceed 4%","")</f>
        <v/>
      </c>
      <c r="H31" s="135"/>
      <c r="I31" s="135"/>
      <c r="J31" s="135"/>
    </row>
    <row r="32" spans="1:12" ht="16.5" hidden="1" thickBot="1" x14ac:dyDescent="0.3">
      <c r="A32" s="2" t="s">
        <v>98</v>
      </c>
      <c r="B32" s="68">
        <f>Input!D57</f>
        <v>0</v>
      </c>
      <c r="C32" s="51"/>
      <c r="D32" s="2" t="s">
        <v>102</v>
      </c>
      <c r="F32" s="66">
        <f>H10*(MIN(F31,4%))/100</f>
        <v>0</v>
      </c>
      <c r="G32" s="62"/>
      <c r="H32" s="53"/>
      <c r="I32" s="2"/>
      <c r="J32" s="70">
        <f>G32</f>
        <v>0</v>
      </c>
      <c r="K32" s="53"/>
    </row>
    <row r="33" spans="1:11" ht="19.5" customHeight="1" thickBot="1" x14ac:dyDescent="0.3">
      <c r="A33" s="2"/>
      <c r="G33" s="134"/>
    </row>
    <row r="34" spans="1:11" ht="16.5" thickBot="1" x14ac:dyDescent="0.3">
      <c r="A34" s="2" t="s">
        <v>86</v>
      </c>
      <c r="B34" s="66">
        <f>Input!D59</f>
        <v>0</v>
      </c>
      <c r="C34" s="10"/>
      <c r="F34" s="2" t="s">
        <v>56</v>
      </c>
      <c r="G34" s="62"/>
      <c r="H34" s="51"/>
      <c r="I34" s="2" t="s">
        <v>92</v>
      </c>
      <c r="J34" s="66">
        <f>G34</f>
        <v>0</v>
      </c>
      <c r="K34" s="129" t="e">
        <f>J34/B34-1</f>
        <v>#DIV/0!</v>
      </c>
    </row>
    <row r="35" spans="1:11" ht="15.75" x14ac:dyDescent="0.25">
      <c r="A35" s="2"/>
      <c r="B35" s="209"/>
      <c r="C35" s="4"/>
      <c r="D35" s="4"/>
      <c r="G35" s="134" t="s">
        <v>75</v>
      </c>
      <c r="I35" s="2"/>
      <c r="J35" s="81"/>
      <c r="K35" s="12"/>
    </row>
    <row r="36" spans="1:11" ht="16.5" thickBot="1" x14ac:dyDescent="0.3">
      <c r="A36" s="2"/>
      <c r="B36" s="208"/>
      <c r="C36" s="4"/>
      <c r="D36" s="4"/>
      <c r="G36" s="134"/>
      <c r="K36" s="12"/>
    </row>
    <row r="37" spans="1:11" ht="16.5" thickBot="1" x14ac:dyDescent="0.3">
      <c r="A37" s="2" t="s">
        <v>87</v>
      </c>
      <c r="B37" s="68">
        <f>B28+B34+B32</f>
        <v>0</v>
      </c>
      <c r="C37" s="10"/>
      <c r="I37" s="2" t="s">
        <v>57</v>
      </c>
      <c r="J37" s="68" t="e">
        <f>J28+J34+J32</f>
        <v>#VALUE!</v>
      </c>
      <c r="K37" s="129" t="e">
        <f>J37/B37-1</f>
        <v>#VALUE!</v>
      </c>
    </row>
    <row r="38" spans="1:11" ht="15.75" x14ac:dyDescent="0.25">
      <c r="C38" s="3"/>
      <c r="I38" s="2"/>
      <c r="J38" s="81"/>
    </row>
    <row r="39" spans="1:11" ht="4.5" customHeight="1" x14ac:dyDescent="0.2">
      <c r="C39" s="3"/>
    </row>
    <row r="40" spans="1:11" hidden="1" x14ac:dyDescent="0.2">
      <c r="C40" s="3"/>
    </row>
  </sheetData>
  <sheetProtection algorithmName="SHA-512" hashValue="h3nWybSCMp37LRmtfknekAyjTqXXN/u72YaP5gkFXaRAIzRG+FNGcERYWgxsciugd2uBohBYG6xjyuwpjmWRfA==" saltValue="gDIXvv54Rj5i8Y4WbAm69g==" spinCount="100000" sheet="1" objects="1" scenarios="1"/>
  <mergeCells count="26">
    <mergeCell ref="J2:L2"/>
    <mergeCell ref="J3:L3"/>
    <mergeCell ref="J4:L4"/>
    <mergeCell ref="A2:B2"/>
    <mergeCell ref="B5:D5"/>
    <mergeCell ref="B6:D6"/>
    <mergeCell ref="H12:H13"/>
    <mergeCell ref="F12:F13"/>
    <mergeCell ref="G12:G13"/>
    <mergeCell ref="A5:A6"/>
    <mergeCell ref="K24:L24"/>
    <mergeCell ref="K29:L29"/>
    <mergeCell ref="J1:L1"/>
    <mergeCell ref="K27:L27"/>
    <mergeCell ref="K22:L22"/>
    <mergeCell ref="K25:L25"/>
    <mergeCell ref="K17:L17"/>
    <mergeCell ref="K20:L20"/>
    <mergeCell ref="K21:L21"/>
    <mergeCell ref="K13:L13"/>
    <mergeCell ref="K14:L14"/>
    <mergeCell ref="K15:L15"/>
    <mergeCell ref="K18:L18"/>
    <mergeCell ref="K19:L19"/>
    <mergeCell ref="K23:L23"/>
    <mergeCell ref="K16:L16"/>
  </mergeCells>
  <phoneticPr fontId="3" type="noConversion"/>
  <conditionalFormatting sqref="A5:B5 B6">
    <cfRule type="expression" dxfId="99" priority="82" stopIfTrue="1">
      <formula>$B$9="N/A"</formula>
    </cfRule>
  </conditionalFormatting>
  <conditionalFormatting sqref="A9:B10">
    <cfRule type="expression" dxfId="98" priority="83" stopIfTrue="1">
      <formula>$B$9="N/A"</formula>
    </cfRule>
  </conditionalFormatting>
  <conditionalFormatting sqref="G30:I30">
    <cfRule type="expression" dxfId="91" priority="69">
      <formula>$J$30&lt;0</formula>
    </cfRule>
  </conditionalFormatting>
  <conditionalFormatting sqref="G31:J31">
    <cfRule type="expression" dxfId="89" priority="1">
      <formula>$F$31&gt;4%</formula>
    </cfRule>
  </conditionalFormatting>
  <conditionalFormatting sqref="J30">
    <cfRule type="cellIs" dxfId="87" priority="80" stopIfTrue="1" operator="lessThan">
      <formula>0</formula>
    </cfRule>
  </conditionalFormatting>
  <conditionalFormatting sqref="K17:K19">
    <cfRule type="expression" dxfId="85" priority="7">
      <formula>$K$17="N/A"</formula>
    </cfRule>
  </conditionalFormatting>
  <conditionalFormatting sqref="K20">
    <cfRule type="expression" dxfId="84" priority="51">
      <formula>$K$20="N/A"</formula>
    </cfRule>
  </conditionalFormatting>
  <conditionalFormatting sqref="K21">
    <cfRule type="expression" dxfId="83" priority="50">
      <formula>$K$21="N/A"</formula>
    </cfRule>
  </conditionalFormatting>
  <conditionalFormatting sqref="K29">
    <cfRule type="expression" dxfId="82" priority="67">
      <formula>$L$28="No"</formula>
    </cfRule>
  </conditionalFormatting>
  <conditionalFormatting sqref="K14:L16 K22:L25">
    <cfRule type="expression" dxfId="81" priority="49">
      <formula>$K14="YES"</formula>
    </cfRule>
    <cfRule type="expression" dxfId="80" priority="60">
      <formula>$K14="NO"</formula>
    </cfRule>
  </conditionalFormatting>
  <conditionalFormatting sqref="L28">
    <cfRule type="cellIs" dxfId="79" priority="81" stopIfTrue="1" operator="equal">
      <formula>"YES"</formula>
    </cfRule>
  </conditionalFormatting>
  <pageMargins left="0.4" right="0.4" top="0.73" bottom="0.79" header="0.5" footer="0.49"/>
  <pageSetup scale="70" orientation="landscape" r:id="rId1"/>
  <headerFooter alignWithMargins="0"/>
  <ignoredErrors>
    <ignoredError sqref="D21" formula="1"/>
  </ignoredErrors>
  <extLst>
    <ext xmlns:x14="http://schemas.microsoft.com/office/spreadsheetml/2009/9/main" uri="{78C0D931-6437-407d-A8EE-F0AAD7539E65}">
      <x14:conditionalFormattings>
        <x14:conditionalFormatting xmlns:xm="http://schemas.microsoft.com/office/excel/2006/main">
          <x14:cfRule type="expression" priority="130" id="{8EFC974D-C4A9-4516-8B16-FB9DE2D29F54}">
            <xm:f>Input!#REF!="N/A"</xm:f>
            <x14:dxf>
              <fill>
                <patternFill>
                  <bgColor theme="1"/>
                </patternFill>
              </fill>
            </x14:dxf>
          </x14:cfRule>
          <xm:sqref>C17:C21</xm:sqref>
        </x14:conditionalFormatting>
        <x14:conditionalFormatting xmlns:xm="http://schemas.microsoft.com/office/excel/2006/main">
          <x14:cfRule type="expression" priority="70" id="{AFC2C999-DD89-4C2F-97EF-46D1B224C6D4}">
            <xm:f>Input!$C$15="Yes"</xm:f>
            <x14:dxf>
              <font>
                <color theme="0"/>
              </font>
              <fill>
                <patternFill>
                  <bgColor theme="0"/>
                </patternFill>
              </fill>
              <border>
                <left/>
                <right/>
                <top/>
                <bottom/>
                <vertical/>
                <horizontal/>
              </border>
            </x14:dxf>
          </x14:cfRule>
          <xm:sqref>D28</xm:sqref>
        </x14:conditionalFormatting>
        <x14:conditionalFormatting xmlns:xm="http://schemas.microsoft.com/office/excel/2006/main">
          <x14:cfRule type="expression" priority="62" id="{7CB6334F-FA46-45F7-BE39-DBC48A053A53}">
            <xm:f>Input!$C$15="No"</xm:f>
            <x14:dxf>
              <font>
                <color theme="0"/>
              </font>
              <fill>
                <patternFill>
                  <bgColor theme="0"/>
                </patternFill>
              </fill>
              <border>
                <left/>
                <right/>
                <top/>
                <bottom/>
                <vertical/>
                <horizontal/>
              </border>
            </x14:dxf>
          </x14:cfRule>
          <xm:sqref>F28</xm:sqref>
        </x14:conditionalFormatting>
        <x14:conditionalFormatting xmlns:xm="http://schemas.microsoft.com/office/excel/2006/main">
          <x14:cfRule type="expression" priority="64" id="{656AB4A6-6A36-44E4-90CE-14540CD05FFC}">
            <xm:f>Input!$C$15="No"</xm:f>
            <x14:dxf>
              <font>
                <color theme="0"/>
              </font>
            </x14:dxf>
          </x14:cfRule>
          <xm:sqref>G2</xm:sqref>
        </x14:conditionalFormatting>
        <x14:conditionalFormatting xmlns:xm="http://schemas.microsoft.com/office/excel/2006/main">
          <x14:cfRule type="expression" priority="63" id="{9A6FF348-BDC9-4975-B2E6-12B961D4AA49}">
            <xm:f>Input!$C$15="Yes"</xm:f>
            <x14:dxf>
              <font>
                <color theme="0"/>
              </font>
              <fill>
                <patternFill>
                  <bgColor theme="0"/>
                </patternFill>
              </fill>
              <border>
                <left style="thin">
                  <color auto="1"/>
                </left>
                <right/>
                <top/>
                <bottom/>
                <vertical/>
                <horizontal/>
              </border>
            </x14:dxf>
          </x14:cfRule>
          <xm:sqref>G28</xm:sqref>
        </x14:conditionalFormatting>
        <x14:conditionalFormatting xmlns:xm="http://schemas.microsoft.com/office/excel/2006/main">
          <x14:cfRule type="expression" priority="18" id="{4EF76B04-FFE1-4582-B749-370F859FD5F0}">
            <xm:f>Input!$C$15="No"</xm:f>
            <x14:dxf>
              <font>
                <color theme="0"/>
              </font>
            </x14:dxf>
          </x14:cfRule>
          <xm:sqref>G33</xm:sqref>
        </x14:conditionalFormatting>
        <x14:conditionalFormatting xmlns:xm="http://schemas.microsoft.com/office/excel/2006/main">
          <x14:cfRule type="expression" priority="15" id="{8657D7A4-5B7D-4683-8935-5FD64BD09B82}">
            <xm:f>Input!$C$15="No"</xm:f>
            <x14:dxf>
              <font>
                <color theme="0"/>
              </font>
              <fill>
                <patternFill>
                  <bgColor theme="0"/>
                </patternFill>
              </fill>
              <border>
                <left/>
                <right/>
                <top/>
                <bottom/>
                <vertical/>
                <horizontal/>
              </border>
            </x14:dxf>
          </x14:cfRule>
          <xm:sqref>G30:J30</xm:sqref>
        </x14:conditionalFormatting>
        <x14:conditionalFormatting xmlns:xm="http://schemas.microsoft.com/office/excel/2006/main">
          <x14:cfRule type="expression" priority="65" id="{DB631823-708F-445F-8E75-C725E1CB2553}">
            <xm:f>Input!$C$15="No"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20" id="{A33B5606-87D4-46CB-877A-21F30CD8BA09}">
            <xm:f>Input!$C$15="Yes"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75" x14ac:dyDescent="0.2"/>
  <sheetData>
    <row r="4" spans="1:11" s="37" customFormat="1" ht="18" x14ac:dyDescent="0.25">
      <c r="C4" s="38" t="s">
        <v>17</v>
      </c>
      <c r="D4" s="39"/>
      <c r="E4" s="39"/>
      <c r="F4" s="39"/>
      <c r="G4" s="39"/>
      <c r="H4" s="39"/>
      <c r="I4" s="39"/>
      <c r="J4" s="40"/>
      <c r="K4" s="40"/>
    </row>
    <row r="5" spans="1:11" s="27" customFormat="1" ht="17.25" x14ac:dyDescent="0.25">
      <c r="A5" s="26" t="s">
        <v>25</v>
      </c>
      <c r="C5" s="28"/>
      <c r="E5" s="29"/>
      <c r="F5" s="30"/>
      <c r="H5" s="30"/>
      <c r="I5" s="30"/>
    </row>
    <row r="6" spans="1:11" s="32" customFormat="1" ht="17.25" x14ac:dyDescent="0.2">
      <c r="A6" s="26" t="s">
        <v>18</v>
      </c>
      <c r="B6" s="31"/>
      <c r="C6" s="31"/>
      <c r="D6" s="31"/>
      <c r="E6" s="31"/>
      <c r="F6" s="31"/>
      <c r="G6" s="31"/>
    </row>
    <row r="7" spans="1:11" s="33" customFormat="1" ht="17.25" x14ac:dyDescent="0.2">
      <c r="A7" s="26" t="s">
        <v>19</v>
      </c>
    </row>
    <row r="8" spans="1:11" s="35" customFormat="1" ht="17.25" x14ac:dyDescent="0.2">
      <c r="A8" s="34" t="s">
        <v>21</v>
      </c>
    </row>
    <row r="9" spans="1:11" s="35" customFormat="1" ht="17.25" x14ac:dyDescent="0.2">
      <c r="A9" s="34" t="s">
        <v>22</v>
      </c>
    </row>
    <row r="10" spans="1:11" s="35" customFormat="1" ht="17.25" x14ac:dyDescent="0.2">
      <c r="A10" s="34" t="s">
        <v>23</v>
      </c>
    </row>
    <row r="11" spans="1:11" s="35" customFormat="1" ht="17.25" x14ac:dyDescent="0.2">
      <c r="A11" s="34" t="s">
        <v>20</v>
      </c>
      <c r="C11" s="36"/>
    </row>
    <row r="12" spans="1:11" s="33" customFormat="1" ht="17.25" x14ac:dyDescent="0.2">
      <c r="A12" s="34" t="s">
        <v>24</v>
      </c>
    </row>
    <row r="13" spans="1:11" x14ac:dyDescent="0.2">
      <c r="A13" s="25"/>
    </row>
    <row r="14" spans="1:11" ht="15" x14ac:dyDescent="0.2">
      <c r="A14" s="25"/>
      <c r="C14" s="20"/>
    </row>
    <row r="18" spans="3:9" s="37" customFormat="1" ht="18" x14ac:dyDescent="0.25">
      <c r="C18" s="41" t="s">
        <v>11</v>
      </c>
      <c r="D18" s="42"/>
      <c r="E18" s="42"/>
      <c r="F18" s="42"/>
      <c r="G18" s="42"/>
      <c r="H18" s="42"/>
      <c r="I18" s="42"/>
    </row>
    <row r="19" spans="3:9" ht="15.75" x14ac:dyDescent="0.2">
      <c r="C19" s="17" t="s">
        <v>12</v>
      </c>
      <c r="D19" s="18"/>
      <c r="E19" s="18"/>
      <c r="F19" s="18"/>
      <c r="G19" s="18"/>
    </row>
    <row r="28" spans="3:9" ht="15" x14ac:dyDescent="0.2">
      <c r="C28" s="21"/>
      <c r="D28" s="22"/>
    </row>
    <row r="29" spans="3:9" ht="15" x14ac:dyDescent="0.2">
      <c r="C29" s="21"/>
    </row>
    <row r="30" spans="3:9" ht="15" x14ac:dyDescent="0.2">
      <c r="C30" s="21"/>
    </row>
    <row r="31" spans="3:9" ht="15" x14ac:dyDescent="0.2">
      <c r="C31" s="21"/>
    </row>
    <row r="32" spans="3:9" ht="15" x14ac:dyDescent="0.2">
      <c r="C32" s="21"/>
    </row>
    <row r="33" spans="3:12" ht="15" x14ac:dyDescent="0.2">
      <c r="C33" s="21"/>
    </row>
    <row r="34" spans="3:12" ht="15" x14ac:dyDescent="0.2">
      <c r="C34" s="21"/>
    </row>
    <row r="44" spans="3:12" ht="15.75" x14ac:dyDescent="0.2">
      <c r="C44" s="23" t="s">
        <v>13</v>
      </c>
      <c r="D44" s="18"/>
      <c r="E44" s="18"/>
      <c r="F44" s="18"/>
      <c r="G44" s="18"/>
      <c r="H44" s="18"/>
      <c r="I44" s="18"/>
      <c r="J44" s="18"/>
      <c r="K44" s="18"/>
      <c r="L44" s="18"/>
    </row>
    <row r="45" spans="3:12" x14ac:dyDescent="0.2">
      <c r="C45" s="19" t="s">
        <v>14</v>
      </c>
    </row>
    <row r="46" spans="3:12" x14ac:dyDescent="0.2">
      <c r="C46" s="19" t="s">
        <v>15</v>
      </c>
    </row>
    <row r="93" spans="3:8" ht="15.75" x14ac:dyDescent="0.25">
      <c r="C93" s="17" t="s">
        <v>16</v>
      </c>
      <c r="D93" s="24"/>
      <c r="E93" s="24"/>
      <c r="F93" s="24"/>
      <c r="G93" s="18"/>
      <c r="H93" s="18"/>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923D-D840-4E79-A182-DF46F7998A23}">
  <sheetPr>
    <tabColor theme="4" tint="0.79998168889431442"/>
  </sheetPr>
  <dimension ref="A1:AD85"/>
  <sheetViews>
    <sheetView showGridLines="0" topLeftCell="A3" workbookViewId="0">
      <selection activeCell="B14" sqref="B14"/>
    </sheetView>
  </sheetViews>
  <sheetFormatPr defaultColWidth="9.140625" defaultRowHeight="12.75" x14ac:dyDescent="0.2"/>
  <cols>
    <col min="1" max="1" width="44.85546875" style="149" bestFit="1" customWidth="1"/>
    <col min="2" max="2" width="16.5703125" style="149" customWidth="1"/>
    <col min="3" max="4" width="9.140625" style="149"/>
    <col min="5" max="5" width="10" style="149" customWidth="1"/>
    <col min="6" max="6" width="10.85546875" style="149" customWidth="1"/>
    <col min="7" max="7" width="10" style="149" customWidth="1"/>
    <col min="8" max="8" width="2.85546875" style="149" customWidth="1"/>
    <col min="9" max="9" width="13" style="149" customWidth="1"/>
    <col min="10" max="10" width="10.5703125" style="149" customWidth="1"/>
    <col min="11" max="12" width="9.140625" style="149"/>
    <col min="13" max="13" width="16.5703125" style="149" customWidth="1"/>
    <col min="14" max="14" width="7.42578125" style="149" customWidth="1"/>
    <col min="15" max="15" width="13.7109375" style="149" customWidth="1"/>
    <col min="16" max="16" width="4.85546875" style="152" customWidth="1"/>
    <col min="17" max="30" width="9.140625" style="152"/>
    <col min="31" max="16384" width="9.140625" style="149"/>
  </cols>
  <sheetData>
    <row r="1" spans="1:28" ht="16.5" thickBot="1" x14ac:dyDescent="0.3">
      <c r="E1" s="150"/>
      <c r="F1" s="151" t="s">
        <v>32</v>
      </c>
      <c r="G1" s="150"/>
      <c r="H1" s="150"/>
    </row>
    <row r="2" spans="1:28" ht="18.75" x14ac:dyDescent="0.3">
      <c r="A2" s="256" t="str">
        <f>Input!$C$5&amp;" Taxpayer Impact Calculation Page"</f>
        <v>2023 Taxpayer Impact Calculation Page</v>
      </c>
      <c r="B2" s="256"/>
      <c r="E2" s="153"/>
      <c r="F2" s="154" t="s">
        <v>30</v>
      </c>
      <c r="G2" s="155"/>
      <c r="H2" s="150"/>
    </row>
    <row r="3" spans="1:28" x14ac:dyDescent="0.2">
      <c r="E3" s="156"/>
      <c r="F3" s="157" t="s">
        <v>31</v>
      </c>
      <c r="G3" s="158"/>
      <c r="H3" s="150"/>
    </row>
    <row r="4" spans="1:28" ht="16.5" thickBot="1" x14ac:dyDescent="0.3">
      <c r="B4" s="159" t="s">
        <v>107</v>
      </c>
      <c r="E4" s="160"/>
      <c r="F4" s="161" t="s">
        <v>35</v>
      </c>
      <c r="G4" s="162"/>
      <c r="H4" s="150"/>
      <c r="M4" s="163" t="s">
        <v>108</v>
      </c>
    </row>
    <row r="6" spans="1:28" ht="15.75" x14ac:dyDescent="0.25">
      <c r="A6" s="159" t="str">
        <f>Input!B28</f>
        <v xml:space="preserve">Estimated Existing EAV % Change for 2023 </v>
      </c>
      <c r="B6" s="164">
        <f>+Input!C28</f>
        <v>0</v>
      </c>
      <c r="L6" s="165" t="str">
        <f>(Input!$C$5-1)&amp; " Fair Cash / Market Value Home"</f>
        <v>2022 Fair Cash / Market Value Home</v>
      </c>
      <c r="M6" s="166"/>
      <c r="Q6" s="167"/>
      <c r="X6" s="168"/>
      <c r="Y6" s="168"/>
      <c r="Z6" s="168"/>
      <c r="AA6" s="168"/>
      <c r="AB6" s="168"/>
    </row>
    <row r="7" spans="1:28" ht="15.75" x14ac:dyDescent="0.25">
      <c r="A7" s="159" t="str">
        <f>"Estimated Existing EAV Value for "&amp; Input!C5&amp;" "</f>
        <v xml:space="preserve">Estimated Existing EAV Value for 2023 </v>
      </c>
      <c r="B7" s="169">
        <f>Input!C26*(1+B6)</f>
        <v>0</v>
      </c>
      <c r="L7" s="165"/>
      <c r="M7" s="165"/>
      <c r="Q7" s="167"/>
      <c r="X7" s="168"/>
      <c r="Y7" s="168"/>
      <c r="Z7" s="168">
        <v>3.0026999999999999</v>
      </c>
      <c r="AA7" s="168"/>
      <c r="AB7" s="168" t="s">
        <v>109</v>
      </c>
    </row>
    <row r="8" spans="1:28" ht="15.75" x14ac:dyDescent="0.2">
      <c r="A8" s="170"/>
      <c r="B8" s="171"/>
      <c r="C8" s="172"/>
      <c r="L8" s="165" t="str">
        <f>"Estimated "&amp;Input!C5&amp;" Fair Cash Value Home"</f>
        <v>Estimated 2023 Fair Cash Value Home</v>
      </c>
      <c r="M8" s="169">
        <f>M6*(1+B6)</f>
        <v>0</v>
      </c>
      <c r="N8" s="173" t="s">
        <v>110</v>
      </c>
      <c r="O8" s="172"/>
      <c r="Q8" s="167"/>
      <c r="X8" s="168" t="s">
        <v>111</v>
      </c>
      <c r="Y8" s="174">
        <v>0.1</v>
      </c>
      <c r="Z8" s="168">
        <v>3.0026999999999999</v>
      </c>
      <c r="AA8" s="168">
        <v>10000</v>
      </c>
      <c r="AB8" s="168">
        <v>10000</v>
      </c>
    </row>
    <row r="9" spans="1:28" ht="15.75" x14ac:dyDescent="0.25">
      <c r="A9" s="159" t="str">
        <f>Input!B30</f>
        <v xml:space="preserve">Estimated New Property for 2023 </v>
      </c>
      <c r="B9" s="169">
        <f>Input!C30</f>
        <v>0</v>
      </c>
      <c r="C9" s="172"/>
      <c r="L9" s="165"/>
      <c r="M9" s="165"/>
      <c r="N9" s="173"/>
      <c r="O9" s="172"/>
      <c r="Q9" s="167"/>
      <c r="X9" s="168" t="s">
        <v>112</v>
      </c>
      <c r="Y9" s="174">
        <f>((1/3)*100)%</f>
        <v>0.33333333333333326</v>
      </c>
      <c r="Z9" s="168">
        <v>1</v>
      </c>
      <c r="AA9" s="168">
        <v>8000</v>
      </c>
      <c r="AB9" s="168">
        <v>6000</v>
      </c>
    </row>
    <row r="10" spans="1:28" ht="15.75" x14ac:dyDescent="0.25">
      <c r="A10" s="159" t="str">
        <f>Input!B32</f>
        <v xml:space="preserve">Estimated Total EAV for 2023 </v>
      </c>
      <c r="B10" s="169">
        <f>B7+B9</f>
        <v>0</v>
      </c>
      <c r="C10" s="173" t="s">
        <v>36</v>
      </c>
      <c r="L10" s="165" t="s">
        <v>113</v>
      </c>
      <c r="M10" s="169">
        <f>M8*N10</f>
        <v>0</v>
      </c>
      <c r="N10" s="175">
        <f>IF(Input!$C$9="Cook",'Tax Calculator - Calculations'!Y8,'Tax Calculator - Calculations'!Y9)</f>
        <v>0.33333333333333326</v>
      </c>
      <c r="O10" s="172"/>
      <c r="X10" s="168" t="s">
        <v>114</v>
      </c>
      <c r="Y10" s="174"/>
      <c r="Z10" s="168"/>
      <c r="AA10" s="168">
        <v>8000</v>
      </c>
      <c r="AB10" s="168"/>
    </row>
    <row r="11" spans="1:28" ht="15.75" customHeight="1" x14ac:dyDescent="0.2">
      <c r="B11" s="172"/>
      <c r="E11" s="212"/>
      <c r="L11" s="165" t="s">
        <v>115</v>
      </c>
      <c r="M11" s="169">
        <f>M10*N11</f>
        <v>0</v>
      </c>
      <c r="N11" s="176">
        <f>IF(Input!$C$9="Cook",'Tax Calculator - Calculations'!Z8,'Tax Calculator - Calculations'!Z9)</f>
        <v>1</v>
      </c>
      <c r="O11" s="172"/>
      <c r="X11" s="168" t="s">
        <v>116</v>
      </c>
      <c r="Y11" s="174"/>
      <c r="Z11" s="168"/>
      <c r="AA11" s="168">
        <v>8000</v>
      </c>
      <c r="AB11" s="168"/>
    </row>
    <row r="12" spans="1:28" ht="15.75" x14ac:dyDescent="0.2">
      <c r="A12" s="165" t="str">
        <f>Input!$C$5-1&amp;" Operating Rate"</f>
        <v>2022 Operating Rate</v>
      </c>
      <c r="B12" s="177" t="e">
        <f>(Input!D55/Input!C26)*100</f>
        <v>#DIV/0!</v>
      </c>
      <c r="O12" s="172"/>
      <c r="X12" s="168" t="s">
        <v>117</v>
      </c>
      <c r="Y12" s="174"/>
      <c r="Z12" s="168"/>
      <c r="AA12" s="168">
        <v>8000</v>
      </c>
      <c r="AB12" s="168"/>
    </row>
    <row r="13" spans="1:28" ht="15.75" x14ac:dyDescent="0.2">
      <c r="A13" s="165" t="str">
        <f>"Estimated "&amp;Input!$C$5&amp;" Operating Rate"</f>
        <v>Estimated 2023 Operating Rate</v>
      </c>
      <c r="B13" s="177" t="e">
        <f>IF(Input!C15="Yes",IF(Calculations!J28/'Tax Calculator - Calculations'!B10*100&gt;Calculations!B9,Calculations!B9,Calculations!J28/'Tax Calculator - Calculations'!B10*100),(IF(Calculations!J14&gt;Calculations!F14,Calculations!F14,Calculations!J14)+IF(Calculations!J15&gt;Calculations!F15,Calculations!F15,Calculations!J15)+IF(Calculations!J16&gt;Calculations!F16,Calculations!F16,Calculations!J16)+IF(Calculations!J22&gt;Calculations!F22,Calculations!F22,Calculations!J22)+IF(Calculations!J23&gt;Calculations!F23,Calculations!F23,Calculations!J23)+IF(Calculations!J24&gt;Calculations!F24,Calculations!F24,Calculations!J24)+IF(Calculations!J25&gt;Calculations!F25,Calculations!F25,Calculations!J25)+Calculations!J17+Calculations!J18+Calculations!J19+Calculations!J20+Calculations!J21)/B10*100)</f>
        <v>#VALUE!</v>
      </c>
      <c r="C13" s="178"/>
      <c r="J13" s="172"/>
      <c r="K13" s="172"/>
      <c r="L13" s="165" t="s">
        <v>118</v>
      </c>
      <c r="M13" s="179">
        <f>IF(Input!$C$9="Cook",'Tax Calculator - Calculations'!AB8,AB9)</f>
        <v>6000</v>
      </c>
      <c r="N13" s="257" t="s">
        <v>119</v>
      </c>
      <c r="O13" s="257"/>
      <c r="P13" s="180"/>
      <c r="X13" s="168" t="s">
        <v>120</v>
      </c>
      <c r="Y13" s="174"/>
      <c r="Z13" s="168"/>
      <c r="AA13" s="168">
        <v>8000</v>
      </c>
      <c r="AB13" s="168"/>
    </row>
    <row r="14" spans="1:28" ht="15.75" customHeight="1" thickBot="1" x14ac:dyDescent="0.25">
      <c r="A14" s="165" t="str">
        <f>"Estimated "&amp;Input!C5&amp;" Bond &amp; Interest Tax Rate"</f>
        <v>Estimated 2023 Bond &amp; Interest Tax Rate</v>
      </c>
      <c r="B14" s="177" t="e">
        <f>((Calculations!G34*(1+B16)/B10*100)+0.0000001)</f>
        <v>#DIV/0!</v>
      </c>
      <c r="C14" s="173" t="s">
        <v>121</v>
      </c>
      <c r="J14" s="172"/>
      <c r="K14" s="172"/>
      <c r="L14" s="165" t="s">
        <v>122</v>
      </c>
      <c r="M14" s="179">
        <f>IF(Input!$C$9="Cook",'Tax Calculator - Calculations'!AA8,IF(Input!$C$9="DuPage",'Tax Calculator - Calculations'!AA9,IF(Input!C9="Lake",'Tax Calculator - Calculations'!AA10,IF(Input!C9="McHenry",'Tax Calculator - Calculations'!AA11,IF(Input!C9="Kane",'Tax Calculator - Calculations'!AA12,IF(Input!C9="Will",'Tax Calculator - Calculations'!AA13,AA14))))))</f>
        <v>6000</v>
      </c>
      <c r="N14" s="257"/>
      <c r="O14" s="257"/>
      <c r="P14" s="180"/>
      <c r="X14" s="168"/>
      <c r="Y14" s="168"/>
      <c r="Z14" s="168"/>
      <c r="AA14" s="168">
        <v>6000</v>
      </c>
      <c r="AB14" s="168"/>
    </row>
    <row r="15" spans="1:28" ht="15.75" x14ac:dyDescent="0.2">
      <c r="A15" s="165"/>
      <c r="B15" s="165"/>
      <c r="C15" s="181"/>
      <c r="D15" s="181"/>
      <c r="E15" s="258" t="s">
        <v>129</v>
      </c>
      <c r="F15" s="259"/>
      <c r="G15" s="260"/>
      <c r="M15" s="172"/>
      <c r="N15" s="182"/>
      <c r="O15" s="182"/>
    </row>
    <row r="16" spans="1:28" ht="15.75" x14ac:dyDescent="0.2">
      <c r="A16" s="165" t="s">
        <v>123</v>
      </c>
      <c r="B16" s="183"/>
      <c r="D16" s="181"/>
      <c r="E16" s="261"/>
      <c r="F16" s="262"/>
      <c r="G16" s="263"/>
      <c r="L16" s="165" t="s">
        <v>124</v>
      </c>
      <c r="M16" s="179">
        <f>M11-M14</f>
        <v>-6000</v>
      </c>
      <c r="N16" s="184"/>
      <c r="O16" s="185"/>
    </row>
    <row r="17" spans="1:15" ht="15.75" customHeight="1" thickBot="1" x14ac:dyDescent="0.25">
      <c r="E17" s="264"/>
      <c r="F17" s="265"/>
      <c r="G17" s="266"/>
      <c r="M17" s="172"/>
      <c r="N17" s="172"/>
      <c r="O17" s="172"/>
    </row>
    <row r="18" spans="1:15" ht="15.75" x14ac:dyDescent="0.2">
      <c r="A18" s="165" t="s">
        <v>125</v>
      </c>
      <c r="B18" s="186">
        <v>0</v>
      </c>
      <c r="C18" s="181" t="s">
        <v>126</v>
      </c>
      <c r="L18" s="165" t="str">
        <f>"Estimated Change in Tax Payment for "&amp; Input!C5</f>
        <v>Estimated Change in Tax Payment for 2023</v>
      </c>
      <c r="M18" s="179" t="e">
        <f>(M16*(B23)/100)-(((((M6*N10)*IF(Input!C9="Cook",Z7,Z9))-M13)*(B24)/100))</f>
        <v>#DIV/0!</v>
      </c>
      <c r="N18" s="172"/>
      <c r="O18" s="172"/>
    </row>
    <row r="19" spans="1:15" ht="15.75" x14ac:dyDescent="0.2">
      <c r="A19" s="165" t="s">
        <v>127</v>
      </c>
      <c r="B19" s="177" t="e">
        <f>((B18*(1+B16))/B10*100)</f>
        <v>#DIV/0!</v>
      </c>
      <c r="C19" s="181" t="s">
        <v>128</v>
      </c>
    </row>
    <row r="20" spans="1:15" ht="15.75" customHeight="1" x14ac:dyDescent="0.2">
      <c r="A20" s="165"/>
      <c r="B20" s="165"/>
      <c r="C20" s="181"/>
      <c r="I20" s="187" t="str">
        <f>"Note, the calculator is intended to estimate the "&amp;Input!C7&amp;" portion of the tax bill."</f>
        <v>Note, the calculator is intended to estimate the  portion of the tax bill.</v>
      </c>
      <c r="J20" s="188"/>
      <c r="K20" s="188"/>
      <c r="L20" s="188"/>
      <c r="M20" s="188"/>
      <c r="N20" s="188"/>
    </row>
    <row r="21" spans="1:15" ht="15.75" customHeight="1" x14ac:dyDescent="0.2">
      <c r="A21" s="165" t="str">
        <f>"Net "&amp;Input!$C$5&amp;" B&amp;I Tax Rate"</f>
        <v>Net 2023 B&amp;I Tax Rate</v>
      </c>
      <c r="B21" s="177" t="e">
        <f>(IF(B14&gt;B19,B14-B19,"Check Abatement"))</f>
        <v>#DIV/0!</v>
      </c>
      <c r="I21" s="267" t="s">
        <v>130</v>
      </c>
      <c r="J21" s="267"/>
      <c r="K21" s="267"/>
      <c r="L21" s="267"/>
      <c r="M21" s="267"/>
      <c r="N21" s="267"/>
      <c r="O21" s="267"/>
    </row>
    <row r="22" spans="1:15" ht="18.75" customHeight="1" x14ac:dyDescent="0.2">
      <c r="A22" s="165"/>
      <c r="B22" s="165"/>
      <c r="C22" s="181"/>
      <c r="I22" s="267"/>
      <c r="J22" s="267"/>
      <c r="K22" s="267"/>
      <c r="L22" s="267"/>
      <c r="M22" s="267"/>
      <c r="N22" s="267"/>
      <c r="O22" s="267"/>
    </row>
    <row r="23" spans="1:15" ht="15.75" x14ac:dyDescent="0.2">
      <c r="A23" s="165" t="str">
        <f>"Total "&amp;[1]Input!$C$5&amp;" Tax Rate"</f>
        <v>Total 2023 Tax Rate</v>
      </c>
      <c r="B23" s="177" t="e">
        <f>B21+B13</f>
        <v>#DIV/0!</v>
      </c>
      <c r="I23" s="267"/>
      <c r="J23" s="267"/>
      <c r="K23" s="267"/>
      <c r="L23" s="267"/>
      <c r="M23" s="267"/>
      <c r="N23" s="267"/>
      <c r="O23" s="267"/>
    </row>
    <row r="24" spans="1:15" ht="15.75" x14ac:dyDescent="0.2">
      <c r="A24" s="165" t="s">
        <v>131</v>
      </c>
      <c r="B24" s="177" t="e">
        <f>Input!D61/Input!C26*100</f>
        <v>#DIV/0!</v>
      </c>
      <c r="I24" s="189"/>
      <c r="J24" s="189"/>
      <c r="K24" s="189"/>
      <c r="L24" s="189"/>
      <c r="M24" s="189"/>
      <c r="N24" s="189"/>
      <c r="O24" s="189"/>
    </row>
    <row r="25" spans="1:15" ht="15.75" x14ac:dyDescent="0.2">
      <c r="A25" s="165"/>
      <c r="B25" s="165"/>
      <c r="I25" s="210"/>
      <c r="J25" s="210"/>
      <c r="K25" s="210"/>
      <c r="L25" s="210"/>
      <c r="M25" s="210"/>
      <c r="N25" s="210"/>
      <c r="O25" s="190"/>
    </row>
    <row r="26" spans="1:15" s="152" customFormat="1" x14ac:dyDescent="0.2"/>
    <row r="27" spans="1:15" s="152" customFormat="1" x14ac:dyDescent="0.2"/>
    <row r="28" spans="1:15" s="152" customFormat="1" x14ac:dyDescent="0.2"/>
    <row r="29" spans="1:15" s="152" customFormat="1" x14ac:dyDescent="0.2"/>
    <row r="30" spans="1:15" s="152" customFormat="1" x14ac:dyDescent="0.2"/>
    <row r="31" spans="1:15" s="152" customFormat="1" x14ac:dyDescent="0.2"/>
    <row r="32" spans="1:15" s="152" customFormat="1" x14ac:dyDescent="0.2"/>
    <row r="33" s="152" customFormat="1" x14ac:dyDescent="0.2"/>
    <row r="34" s="152" customFormat="1" x14ac:dyDescent="0.2"/>
    <row r="35" s="152" customFormat="1" x14ac:dyDescent="0.2"/>
    <row r="36" s="152" customFormat="1" x14ac:dyDescent="0.2"/>
    <row r="37" s="152" customFormat="1" x14ac:dyDescent="0.2"/>
    <row r="38" s="152" customFormat="1" x14ac:dyDescent="0.2"/>
    <row r="39" s="152" customFormat="1" x14ac:dyDescent="0.2"/>
    <row r="40" s="152" customFormat="1" x14ac:dyDescent="0.2"/>
    <row r="41" s="152" customFormat="1" x14ac:dyDescent="0.2"/>
    <row r="42" s="152" customFormat="1" x14ac:dyDescent="0.2"/>
    <row r="43" s="152" customFormat="1" x14ac:dyDescent="0.2"/>
    <row r="44" s="152" customFormat="1" x14ac:dyDescent="0.2"/>
    <row r="45" s="152" customFormat="1" x14ac:dyDescent="0.2"/>
    <row r="46" s="152" customFormat="1" x14ac:dyDescent="0.2"/>
    <row r="47" s="152" customFormat="1" x14ac:dyDescent="0.2"/>
    <row r="48" s="152" customFormat="1" x14ac:dyDescent="0.2"/>
    <row r="49" s="152" customFormat="1" x14ac:dyDescent="0.2"/>
    <row r="50" s="152" customFormat="1" x14ac:dyDescent="0.2"/>
    <row r="51" s="152" customFormat="1" x14ac:dyDescent="0.2"/>
    <row r="52" s="152" customFormat="1" x14ac:dyDescent="0.2"/>
    <row r="53" s="152" customFormat="1" x14ac:dyDescent="0.2"/>
    <row r="54" s="152" customFormat="1" x14ac:dyDescent="0.2"/>
    <row r="55" s="152" customFormat="1" x14ac:dyDescent="0.2"/>
    <row r="56" s="152" customFormat="1" x14ac:dyDescent="0.2"/>
    <row r="57" s="152" customFormat="1" x14ac:dyDescent="0.2"/>
    <row r="58" s="152" customFormat="1" x14ac:dyDescent="0.2"/>
    <row r="59" s="152" customFormat="1" x14ac:dyDescent="0.2"/>
    <row r="60" s="152" customFormat="1" x14ac:dyDescent="0.2"/>
    <row r="61" s="152" customFormat="1" x14ac:dyDescent="0.2"/>
    <row r="62" s="152" customFormat="1" x14ac:dyDescent="0.2"/>
    <row r="63" s="152" customFormat="1" x14ac:dyDescent="0.2"/>
    <row r="64" s="152" customFormat="1" x14ac:dyDescent="0.2"/>
    <row r="65" s="152" customFormat="1" x14ac:dyDescent="0.2"/>
    <row r="66" s="152" customFormat="1" x14ac:dyDescent="0.2"/>
    <row r="67" s="152" customFormat="1" x14ac:dyDescent="0.2"/>
    <row r="68" s="152" customFormat="1" x14ac:dyDescent="0.2"/>
    <row r="69" s="152" customFormat="1" x14ac:dyDescent="0.2"/>
    <row r="70" s="152" customFormat="1" x14ac:dyDescent="0.2"/>
    <row r="71" s="152" customFormat="1" x14ac:dyDescent="0.2"/>
    <row r="72" s="152" customFormat="1" x14ac:dyDescent="0.2"/>
    <row r="73" s="152" customFormat="1" x14ac:dyDescent="0.2"/>
    <row r="74" s="152" customFormat="1" x14ac:dyDescent="0.2"/>
    <row r="75" s="152" customFormat="1" x14ac:dyDescent="0.2"/>
    <row r="76" s="152" customFormat="1" x14ac:dyDescent="0.2"/>
    <row r="77" s="152" customFormat="1" x14ac:dyDescent="0.2"/>
    <row r="78" s="152" customFormat="1" x14ac:dyDescent="0.2"/>
    <row r="79" s="152" customFormat="1" x14ac:dyDescent="0.2"/>
    <row r="80" s="152" customFormat="1" x14ac:dyDescent="0.2"/>
    <row r="81" spans="1:15" s="152" customFormat="1" x14ac:dyDescent="0.2"/>
    <row r="82" spans="1:15" s="152" customFormat="1" x14ac:dyDescent="0.2"/>
    <row r="83" spans="1:15" s="152" customFormat="1" x14ac:dyDescent="0.2"/>
    <row r="84" spans="1:15" x14ac:dyDescent="0.2">
      <c r="A84" s="152"/>
      <c r="B84" s="152"/>
      <c r="C84" s="152"/>
      <c r="I84" s="152"/>
      <c r="J84" s="152"/>
      <c r="K84" s="152"/>
      <c r="L84" s="152"/>
      <c r="M84" s="152"/>
      <c r="N84" s="152"/>
      <c r="O84" s="152"/>
    </row>
    <row r="85" spans="1:15" x14ac:dyDescent="0.2">
      <c r="I85" s="152"/>
      <c r="J85" s="152"/>
      <c r="K85" s="152"/>
      <c r="L85" s="152"/>
      <c r="M85" s="152"/>
      <c r="N85" s="152"/>
      <c r="O85" s="152"/>
    </row>
  </sheetData>
  <sheetProtection algorithmName="SHA-512" hashValue="W9Fvh7HnI4Q5pvhHZ/qG47AUkHHynKMsIL5AFat0jVPiuU8if6c7/OhAiG/v3oKI0HHtpJ/ERGsL1r/2AGm+Vw==" saltValue="aSfj/qC8k4zDmcxJAteEzA==" spinCount="100000" sheet="1" objects="1" scenarios="1"/>
  <mergeCells count="4">
    <mergeCell ref="A2:B2"/>
    <mergeCell ref="N13:O14"/>
    <mergeCell ref="E15:G17"/>
    <mergeCell ref="I21:O23"/>
  </mergeCells>
  <conditionalFormatting sqref="L6:L11 M7 M9 A12:A16 L13:L14 B15 L16 A18:A25 B20 B22 B25">
    <cfRule type="expression" dxfId="77" priority="3" stopIfTrue="1">
      <formula>$B$19="N/A"</formula>
    </cfRule>
  </conditionalFormatting>
  <conditionalFormatting sqref="L18">
    <cfRule type="expression" dxfId="76" priority="2" stopIfTrue="1">
      <formula>$B$19="N/A"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cellIs" priority="1" operator="between" id="{A906A9F7-E125-40EA-A09C-417686DCECC4}">
            <xm:f>0</xm:f>
            <xm:f>Calculations!$G$34</xm:f>
            <x14:dxf>
              <fill>
                <patternFill>
                  <bgColor rgb="FFCCFFCC"/>
                </patternFill>
              </fill>
            </x14:dxf>
          </x14:cfRule>
          <xm:sqref>B18</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41"/>
  <sheetViews>
    <sheetView showGridLines="0" tabSelected="1" zoomScaleNormal="100" workbookViewId="0">
      <selection activeCell="G39" sqref="G39"/>
    </sheetView>
  </sheetViews>
  <sheetFormatPr defaultColWidth="0" defaultRowHeight="0" customHeight="1" zeroHeight="1" x14ac:dyDescent="0.2"/>
  <cols>
    <col min="1" max="1" width="30" style="1" customWidth="1"/>
    <col min="2" max="2" width="16.5703125" style="1" customWidth="1"/>
    <col min="3" max="3" width="11.85546875" style="1" customWidth="1"/>
    <col min="4" max="4" width="2.42578125" style="1" customWidth="1"/>
    <col min="5" max="5" width="15.140625" style="1" customWidth="1"/>
    <col min="6" max="6" width="13.7109375" style="1" customWidth="1"/>
    <col min="7" max="7" width="14.5703125" style="1" customWidth="1"/>
    <col min="8" max="8" width="17.7109375" style="1" customWidth="1"/>
    <col min="9" max="9" width="17.5703125" style="1" customWidth="1"/>
    <col min="10" max="10" width="13.85546875" style="1" customWidth="1"/>
    <col min="11" max="11" width="2.85546875" style="1" customWidth="1"/>
    <col min="12" max="12" width="15.28515625" style="1" customWidth="1"/>
    <col min="13" max="13" width="16.85546875" style="1" customWidth="1"/>
    <col min="14" max="14" width="16" style="1" customWidth="1"/>
    <col min="15" max="15" width="0.85546875" style="1" customWidth="1"/>
    <col min="16" max="16384" width="0" style="1" hidden="1"/>
  </cols>
  <sheetData>
    <row r="1" spans="1:14" ht="18.75" customHeight="1" thickBot="1" x14ac:dyDescent="0.3">
      <c r="I1" s="127" t="s">
        <v>33</v>
      </c>
      <c r="L1" s="78"/>
      <c r="M1" s="91" t="s">
        <v>32</v>
      </c>
      <c r="N1" s="78"/>
    </row>
    <row r="2" spans="1:14" ht="18.75" x14ac:dyDescent="0.3">
      <c r="A2" s="269" t="str">
        <f>Input!$C$5&amp;" TAX EXTENSION WORKSHEET"</f>
        <v>2023 TAX EXTENSION WORKSHEET</v>
      </c>
      <c r="B2" s="269"/>
      <c r="C2" s="269"/>
      <c r="F2" s="80"/>
      <c r="G2" s="80"/>
      <c r="H2" s="80" t="str">
        <f>"Estimated % Change to Existing EAV for "&amp;Input!$C$5&amp;" "</f>
        <v xml:space="preserve">Estimated % Change to Existing EAV for 2023 </v>
      </c>
      <c r="I2" s="92">
        <f>Input!C28</f>
        <v>0</v>
      </c>
      <c r="L2" s="90"/>
      <c r="M2" s="107" t="s">
        <v>30</v>
      </c>
      <c r="N2" s="89"/>
    </row>
    <row r="3" spans="1:14" ht="15.75" x14ac:dyDescent="0.25">
      <c r="F3" s="80"/>
      <c r="G3" s="80"/>
      <c r="H3" s="80" t="str">
        <f>"Estimated New Property for "&amp;Input!$C$5&amp;" "</f>
        <v xml:space="preserve">Estimated New Property for 2023 </v>
      </c>
      <c r="I3" s="55">
        <f>Input!$C$30</f>
        <v>0</v>
      </c>
      <c r="L3" s="75"/>
      <c r="M3" s="105" t="s">
        <v>31</v>
      </c>
      <c r="N3" s="76"/>
    </row>
    <row r="4" spans="1:14" ht="16.5" thickBot="1" x14ac:dyDescent="0.3">
      <c r="F4" s="79"/>
      <c r="G4" s="79"/>
      <c r="H4" s="80" t="str">
        <f>"Estimated Total EAV for "&amp;Input!$C$5&amp;" "</f>
        <v xml:space="preserve">Estimated Total EAV for 2023 </v>
      </c>
      <c r="I4" s="97">
        <f>Input!$C$32</f>
        <v>0</v>
      </c>
      <c r="J4" s="51"/>
      <c r="L4" s="98"/>
      <c r="M4" s="106" t="s">
        <v>35</v>
      </c>
      <c r="N4" s="99"/>
    </row>
    <row r="5" spans="1:14" ht="15.75" x14ac:dyDescent="0.25">
      <c r="F5" s="80"/>
      <c r="G5" s="80"/>
      <c r="H5" s="80" t="str">
        <f>"Estimated Total EAV Change for "&amp;Input!$C$5&amp;" "</f>
        <v xml:space="preserve">Estimated Total EAV Change for 2023 </v>
      </c>
      <c r="I5" s="94" t="e">
        <f>Input!$C$33</f>
        <v>#DIV/0!</v>
      </c>
      <c r="J5" s="51"/>
    </row>
    <row r="6" spans="1:14" ht="12" customHeight="1" thickBot="1" x14ac:dyDescent="0.3">
      <c r="F6" s="80"/>
      <c r="G6" s="80"/>
      <c r="H6" s="80"/>
      <c r="I6" s="125"/>
      <c r="J6" s="51"/>
    </row>
    <row r="7" spans="1:14" ht="18" customHeight="1" x14ac:dyDescent="0.25">
      <c r="A7" s="244"/>
      <c r="B7" s="45"/>
      <c r="C7" s="45"/>
      <c r="D7" s="45"/>
      <c r="E7" s="45"/>
      <c r="F7" s="113"/>
      <c r="G7" s="114"/>
      <c r="H7" s="114"/>
      <c r="I7" s="126" t="s">
        <v>37</v>
      </c>
      <c r="J7" s="115"/>
      <c r="K7" s="115"/>
      <c r="L7" s="115"/>
      <c r="M7" s="115"/>
      <c r="N7" s="116"/>
    </row>
    <row r="8" spans="1:14" ht="15.75" customHeight="1" x14ac:dyDescent="0.25">
      <c r="A8" s="244"/>
      <c r="B8" s="274" t="s">
        <v>93</v>
      </c>
      <c r="C8" s="274" t="s">
        <v>94</v>
      </c>
      <c r="D8" s="274"/>
      <c r="E8" s="46"/>
      <c r="F8" s="117"/>
      <c r="G8" s="80"/>
      <c r="H8" s="80" t="str">
        <f>"Actual % Change to Existing EAV for "&amp;Input!$C$5&amp;" "</f>
        <v xml:space="preserve">Actual % Change to Existing EAV for 2023 </v>
      </c>
      <c r="I8" s="93"/>
      <c r="J8" s="51" t="s">
        <v>65</v>
      </c>
      <c r="N8" s="118"/>
    </row>
    <row r="9" spans="1:14" ht="15.75" x14ac:dyDescent="0.25">
      <c r="A9" s="11"/>
      <c r="B9" s="275"/>
      <c r="C9" s="275"/>
      <c r="D9" s="275"/>
      <c r="E9" s="46"/>
      <c r="F9" s="117"/>
      <c r="G9" s="80"/>
      <c r="H9" s="80" t="str">
        <f>"Actual New Property for "&amp;Input!$C$5&amp;" "</f>
        <v xml:space="preserve">Actual New Property for 2023 </v>
      </c>
      <c r="I9" s="56"/>
      <c r="J9" s="51" t="s">
        <v>66</v>
      </c>
      <c r="N9" s="118"/>
    </row>
    <row r="10" spans="1:14" ht="15.75" x14ac:dyDescent="0.25">
      <c r="A10" s="5" t="s">
        <v>54</v>
      </c>
      <c r="B10" s="100" t="str">
        <f>IF(Input!C15="Yes",Input!$D$55*(1+MIN(0.05,Input!$C$24))/(Input!$C$32-Input!$C$30)*100,"N/A")</f>
        <v>N/A</v>
      </c>
      <c r="C10" s="270" t="str">
        <f>IF(Input!C15="Yes",Input!$D$55*(1+MIN(0.05,Input!$C$24))/(I10-I9)*100,"N/A")</f>
        <v>N/A</v>
      </c>
      <c r="D10" s="271"/>
      <c r="F10" s="117"/>
      <c r="G10" s="80"/>
      <c r="H10" s="80" t="str">
        <f>"Actual Total EAV for "&amp;Input!$C$5&amp;" "</f>
        <v xml:space="preserve">Actual Total EAV for 2023 </v>
      </c>
      <c r="I10" s="97">
        <f>Input!C26*(1+Extension!I8)+Extension!I9</f>
        <v>0</v>
      </c>
      <c r="J10" s="51"/>
      <c r="N10" s="118"/>
    </row>
    <row r="11" spans="1:14" ht="15.75" x14ac:dyDescent="0.25">
      <c r="A11" s="5" t="s">
        <v>67</v>
      </c>
      <c r="B11" s="60" t="str">
        <f>IF(Input!C15="Yes",($B$10*Input!$C$32)/100,"N/A")</f>
        <v>N/A</v>
      </c>
      <c r="C11" s="272" t="str">
        <f>IF(Input!C15="Yes",($C$10*$I$10)/100,"N/A")</f>
        <v>N/A</v>
      </c>
      <c r="D11" s="273"/>
      <c r="E11" s="44"/>
      <c r="F11" s="117"/>
      <c r="G11" s="80"/>
      <c r="H11" s="80" t="str">
        <f>"Actual Total EAV Change for "&amp;Input!$C$5&amp;" "</f>
        <v xml:space="preserve">Actual Total EAV Change for 2023 </v>
      </c>
      <c r="I11" s="95" t="e">
        <f>I10/Input!$C$26-1</f>
        <v>#DIV/0!</v>
      </c>
      <c r="J11" s="51"/>
      <c r="N11" s="118"/>
    </row>
    <row r="12" spans="1:14" ht="15.75" customHeight="1" x14ac:dyDescent="0.2">
      <c r="F12" s="119"/>
      <c r="J12" s="120" t="s">
        <v>69</v>
      </c>
      <c r="N12" s="118"/>
    </row>
    <row r="13" spans="1:14" ht="15.75" x14ac:dyDescent="0.25">
      <c r="F13" s="119"/>
      <c r="H13" s="5" t="s">
        <v>68</v>
      </c>
      <c r="I13" s="58" t="str">
        <f>IF(C10&gt;G32,"N/A",$C$10/$G$32)</f>
        <v>N/A</v>
      </c>
      <c r="J13" s="138" t="str">
        <f>IF(Input!C15="No"," YES - All Available Property Tax Dollars Have Been Captured"," YES - All Available Tax Capped Dollars Have Been Captured")</f>
        <v xml:space="preserve"> YES - All Available Property Tax Dollars Have Been Captured</v>
      </c>
      <c r="K13" s="139"/>
      <c r="L13" s="139"/>
      <c r="M13" s="139"/>
      <c r="N13" s="140"/>
    </row>
    <row r="14" spans="1:14" ht="15.75" x14ac:dyDescent="0.2">
      <c r="F14" s="119"/>
      <c r="H14" s="5" t="str">
        <f>IF(Input!C15="Yes","Amount Below Allowable PTELL ","Amount Below Available Extension ")</f>
        <v xml:space="preserve">Amount Below Available Extension </v>
      </c>
      <c r="I14" s="213" t="e">
        <f>IF(Input!C15="No",IF(Extension!I32&lt;Extension!H32,Extension!I32-Extension!H32,""),IF(I13="N/A",I32-C11,""))</f>
        <v>#VALUE!</v>
      </c>
      <c r="J14" s="135" t="e">
        <f>IF(I14&lt;0," ALERT - Levy Increase Needed to Capture All Available Property Taxes","")</f>
        <v>#VALUE!</v>
      </c>
      <c r="N14" s="118"/>
    </row>
    <row r="15" spans="1:14" ht="12" customHeight="1" thickBot="1" x14ac:dyDescent="0.25">
      <c r="A15" s="5"/>
      <c r="B15" s="5"/>
      <c r="F15" s="121"/>
      <c r="G15" s="122"/>
      <c r="H15" s="122"/>
      <c r="I15" s="122"/>
      <c r="J15" s="123"/>
      <c r="K15" s="122"/>
      <c r="L15" s="122"/>
      <c r="M15" s="122"/>
      <c r="N15" s="124"/>
    </row>
    <row r="16" spans="1:14" ht="18" customHeight="1" x14ac:dyDescent="0.2">
      <c r="G16" s="268" t="str">
        <f>IF(Input!C15="No","Maximum Extension Factor",IF(Input!C17="no","Maximum Calculated Tax Rate","Maximum Tax Rate using Prior Year EAV"))</f>
        <v>Maximum Extension Factor</v>
      </c>
      <c r="H16" s="268" t="str">
        <f>IF(Input!C15="No","Scenario Calculated Maximum Extension ","Maximum Allowable Extension")</f>
        <v xml:space="preserve">Scenario Calculated Maximum Extension </v>
      </c>
      <c r="I16" s="268" t="str">
        <f>IF(Input!$C$15="Yes","Maximum Allowable Extension x Reduction Factor","Scenario Calculated Extension")</f>
        <v>Scenario Calculated Extension</v>
      </c>
      <c r="J16" s="268" t="s">
        <v>71</v>
      </c>
      <c r="N16" s="268" t="s">
        <v>74</v>
      </c>
    </row>
    <row r="17" spans="1:14" ht="37.9" customHeight="1" x14ac:dyDescent="0.2">
      <c r="B17" s="8" t="s">
        <v>90</v>
      </c>
      <c r="C17" s="8" t="s">
        <v>70</v>
      </c>
      <c r="E17" s="8" t="s">
        <v>76</v>
      </c>
      <c r="F17" s="8" t="s">
        <v>85</v>
      </c>
      <c r="G17" s="243"/>
      <c r="H17" s="243"/>
      <c r="I17" s="243"/>
      <c r="J17" s="243"/>
      <c r="L17" s="8" t="s">
        <v>72</v>
      </c>
      <c r="M17" s="8" t="s">
        <v>73</v>
      </c>
      <c r="N17" s="243"/>
    </row>
    <row r="18" spans="1:14" ht="15.75" x14ac:dyDescent="0.25">
      <c r="A18" s="80" t="str">
        <f>Calculations!A14</f>
        <v xml:space="preserve">Corporate </v>
      </c>
      <c r="B18" s="55">
        <f>Calculations!J14</f>
        <v>0</v>
      </c>
      <c r="C18" s="59">
        <v>0</v>
      </c>
      <c r="E18" s="55">
        <f>B18*(1+C18)</f>
        <v>0</v>
      </c>
      <c r="F18" s="101" t="e">
        <f>(E18/$I$10)*100</f>
        <v>#DIV/0!</v>
      </c>
      <c r="G18" s="101" t="str">
        <f>IF(Input!$C$15="No",IF(Input!C42&gt;0,Input!C42,"Levy"),IF(Input!$C$17="no",IF(Input!C42&gt;0,MIN(Input!C42,F18),F18),IF(Input!C42&gt;0,MIN(Input!C42,Input!C42*(Input!$C$26+$I$9)/Extension!$I$10,F18),F18)))</f>
        <v>Levy</v>
      </c>
      <c r="H18" s="61">
        <f>IF(G18="Levy",E18,((G18*$I$10)/100))</f>
        <v>0</v>
      </c>
      <c r="I18" s="61">
        <f>IF(Input!$C$15="Yes",IF($I$13="N/A",H18,H18*$I$13),IF(Extension!E18&lt;Extension!H18,Extension!E18,Extension!H18))</f>
        <v>0</v>
      </c>
      <c r="J18" s="101" t="e">
        <f>(I18/$I$10)*100</f>
        <v>#DIV/0!</v>
      </c>
      <c r="L18" s="62">
        <v>0</v>
      </c>
      <c r="M18" s="54">
        <f>I18+L18</f>
        <v>0</v>
      </c>
      <c r="N18" s="101">
        <f>IF(M18=0,0,M18/$I$10)*100</f>
        <v>0</v>
      </c>
    </row>
    <row r="19" spans="1:14" ht="15.75" x14ac:dyDescent="0.25">
      <c r="A19" s="80" t="str">
        <f>Calculations!A15</f>
        <v xml:space="preserve">Working Cash Funds </v>
      </c>
      <c r="B19" s="55">
        <f>Calculations!J15</f>
        <v>0</v>
      </c>
      <c r="C19" s="59">
        <v>0</v>
      </c>
      <c r="E19" s="55">
        <f t="shared" ref="E19:E29" si="0">B19*(1+C19)</f>
        <v>0</v>
      </c>
      <c r="F19" s="101" t="e">
        <f t="shared" ref="F19:F29" si="1">(E19/$I$10)*100</f>
        <v>#DIV/0!</v>
      </c>
      <c r="G19" s="101" t="str">
        <f>IF(Input!$C$15="No",IF(Input!C43&gt;0,Input!C43,"Levy"),IF(Input!$C$17="no",IF(Input!C43&gt;0,MIN(Input!C43,F19),F19),IF(Input!C43&gt;0,MIN(Input!C43,Input!C43*(Input!$C$26+$I$9)/Extension!$I$10,F19),F19)))</f>
        <v>Levy</v>
      </c>
      <c r="H19" s="61">
        <f t="shared" ref="H19:H29" si="2">IF(G19="Levy",E19,((G19*$I$10)/100))</f>
        <v>0</v>
      </c>
      <c r="I19" s="61">
        <f>IF(Input!$C$15="Yes",IF($I$13="N/A",H19,H19*$I$13),IF(Extension!E19&lt;Extension!H19,Extension!E19,Extension!H19))</f>
        <v>0</v>
      </c>
      <c r="J19" s="101" t="e">
        <f t="shared" ref="J19:J29" si="3">(I19/$I$10)*100</f>
        <v>#DIV/0!</v>
      </c>
      <c r="L19" s="62">
        <v>0</v>
      </c>
      <c r="M19" s="54">
        <f t="shared" ref="M19:M29" si="4">I19+L19</f>
        <v>0</v>
      </c>
      <c r="N19" s="101">
        <f t="shared" ref="N19:N29" si="5">IF(M19=0,0,M19/$I$10)*100</f>
        <v>0</v>
      </c>
    </row>
    <row r="20" spans="1:14" ht="15.75" x14ac:dyDescent="0.25">
      <c r="A20" s="80" t="str">
        <f>Calculations!A16</f>
        <v xml:space="preserve">Audit </v>
      </c>
      <c r="B20" s="55">
        <f>Calculations!J16</f>
        <v>0</v>
      </c>
      <c r="C20" s="59">
        <v>0</v>
      </c>
      <c r="E20" s="55">
        <f t="shared" si="0"/>
        <v>0</v>
      </c>
      <c r="F20" s="101" t="e">
        <f t="shared" si="1"/>
        <v>#DIV/0!</v>
      </c>
      <c r="G20" s="101" t="str">
        <f>IF(Input!$C$15="No",IF(Input!C44&gt;0,Input!C44,"Levy"),IF(Input!$C$17="no",IF(Input!C44&gt;0,MIN(Input!C44,F20),F20),IF(Input!C44&gt;0,MIN(Input!C44,Input!C44*(Input!$C$26+$I$9)/Extension!$I$10,F20),F20)))</f>
        <v>Levy</v>
      </c>
      <c r="H20" s="61">
        <f t="shared" si="2"/>
        <v>0</v>
      </c>
      <c r="I20" s="61">
        <f>IF(Input!$C$15="Yes",IF($I$13="N/A",H20,H20*$I$13),IF(Extension!E20&lt;Extension!H20,Extension!E20,Extension!H20))</f>
        <v>0</v>
      </c>
      <c r="J20" s="101" t="e">
        <f t="shared" si="3"/>
        <v>#DIV/0!</v>
      </c>
      <c r="L20" s="62">
        <v>0</v>
      </c>
      <c r="M20" s="54">
        <f t="shared" si="4"/>
        <v>0</v>
      </c>
      <c r="N20" s="101">
        <f t="shared" si="5"/>
        <v>0</v>
      </c>
    </row>
    <row r="21" spans="1:14" ht="15.75" x14ac:dyDescent="0.25">
      <c r="A21" s="80" t="str">
        <f>Calculations!A17</f>
        <v xml:space="preserve">Municipal Retirement </v>
      </c>
      <c r="B21" s="55" t="e">
        <f>Calculations!J17</f>
        <v>#VALUE!</v>
      </c>
      <c r="C21" s="59">
        <v>0</v>
      </c>
      <c r="E21" s="55" t="e">
        <f t="shared" si="0"/>
        <v>#VALUE!</v>
      </c>
      <c r="F21" s="101" t="e">
        <f t="shared" si="1"/>
        <v>#VALUE!</v>
      </c>
      <c r="G21" s="101" t="str">
        <f>IF(Input!$C$15="No",IF(Input!C45&gt;0,Input!C45,"Levy"),IF(Input!$C$17="no",IF(Input!C45&gt;0,MIN(Input!C45,F21),F21),IF(Input!C45&gt;0,MIN(Input!C45,Input!C45*(Input!$C$26+$I$9)/Extension!$I$10,F21),F21)))</f>
        <v>Levy</v>
      </c>
      <c r="H21" s="61" t="e">
        <f t="shared" si="2"/>
        <v>#VALUE!</v>
      </c>
      <c r="I21" s="61" t="e">
        <f>IF(Input!$C$15="Yes",IF($I$13="N/A",H21,H21*$I$13),IF(Extension!E21&lt;Extension!H21,Extension!E21,Extension!H21))</f>
        <v>#VALUE!</v>
      </c>
      <c r="J21" s="101" t="e">
        <f t="shared" si="3"/>
        <v>#VALUE!</v>
      </c>
      <c r="L21" s="62">
        <v>0</v>
      </c>
      <c r="M21" s="54" t="e">
        <f t="shared" si="4"/>
        <v>#VALUE!</v>
      </c>
      <c r="N21" s="101" t="e">
        <f t="shared" si="5"/>
        <v>#VALUE!</v>
      </c>
    </row>
    <row r="22" spans="1:14" ht="15.75" x14ac:dyDescent="0.25">
      <c r="A22" s="80" t="str">
        <f>Calculations!A18</f>
        <v xml:space="preserve">Unemployment Insurance </v>
      </c>
      <c r="B22" s="55" t="e">
        <f>Calculations!J18</f>
        <v>#VALUE!</v>
      </c>
      <c r="C22" s="59">
        <v>0</v>
      </c>
      <c r="E22" s="55" t="e">
        <f t="shared" si="0"/>
        <v>#VALUE!</v>
      </c>
      <c r="F22" s="101" t="e">
        <f t="shared" ref="F22:F28" si="6">(E22/$I$10)*100</f>
        <v>#VALUE!</v>
      </c>
      <c r="G22" s="101" t="str">
        <f>IF(Input!$C$15="No",IF(Input!C46&gt;0,Input!C46,"Levy"),IF(Input!$C$17="no",IF(Input!C46&gt;0,MIN(Input!C46,F22),F22),IF(Input!C46&gt;0,MIN(Input!C46,Input!C46*(Input!$C$26+$I$9)/Extension!$I$10,F22),F22)))</f>
        <v>Levy</v>
      </c>
      <c r="H22" s="61" t="e">
        <f t="shared" ref="H22:H28" si="7">IF(G22="Levy",E22,((G22*$I$10)/100))</f>
        <v>#VALUE!</v>
      </c>
      <c r="I22" s="61" t="e">
        <f>IF(Input!$C$15="Yes",IF($I$13="N/A",H22,H22*$I$13),IF(Extension!E22&lt;Extension!H22,Extension!E22,Extension!H22))</f>
        <v>#VALUE!</v>
      </c>
      <c r="J22" s="101" t="e">
        <f t="shared" ref="J22:J28" si="8">(I22/$I$10)*100</f>
        <v>#VALUE!</v>
      </c>
      <c r="L22" s="62">
        <v>0</v>
      </c>
      <c r="M22" s="54" t="e">
        <f t="shared" si="4"/>
        <v>#VALUE!</v>
      </c>
      <c r="N22" s="101" t="e">
        <f t="shared" si="5"/>
        <v>#VALUE!</v>
      </c>
    </row>
    <row r="23" spans="1:14" ht="15.75" x14ac:dyDescent="0.25">
      <c r="A23" s="80" t="str">
        <f>Calculations!A19</f>
        <v xml:space="preserve">Workman's Compensation </v>
      </c>
      <c r="B23" s="55" t="e">
        <f>Calculations!J19</f>
        <v>#VALUE!</v>
      </c>
      <c r="C23" s="59">
        <v>0</v>
      </c>
      <c r="E23" s="55" t="e">
        <f t="shared" si="0"/>
        <v>#VALUE!</v>
      </c>
      <c r="F23" s="101" t="e">
        <f t="shared" si="6"/>
        <v>#VALUE!</v>
      </c>
      <c r="G23" s="101" t="str">
        <f>IF(Input!$C$15="No",IF(Input!C47&gt;0,Input!C47,"Levy"),IF(Input!$C$17="no",IF(Input!C47&gt;0,MIN(Input!C47,F23),F23),IF(Input!C47&gt;0,MIN(Input!C47,Input!C47*(Input!$C$26+$I$9)/Extension!$I$10,F23),F23)))</f>
        <v>Levy</v>
      </c>
      <c r="H23" s="61" t="e">
        <f t="shared" si="7"/>
        <v>#VALUE!</v>
      </c>
      <c r="I23" s="61" t="e">
        <f>IF(Input!$C$15="Yes",IF($I$13="N/A",H23,H23*$I$13),IF(Extension!E23&lt;Extension!H23,Extension!E23,Extension!H23))</f>
        <v>#VALUE!</v>
      </c>
      <c r="J23" s="101" t="e">
        <f t="shared" si="8"/>
        <v>#VALUE!</v>
      </c>
      <c r="L23" s="62">
        <v>0</v>
      </c>
      <c r="M23" s="54" t="e">
        <f t="shared" si="4"/>
        <v>#VALUE!</v>
      </c>
      <c r="N23" s="101" t="e">
        <f t="shared" si="5"/>
        <v>#VALUE!</v>
      </c>
    </row>
    <row r="24" spans="1:14" ht="15.75" x14ac:dyDescent="0.25">
      <c r="A24" s="80" t="str">
        <f>Calculations!A20</f>
        <v xml:space="preserve">Social Security </v>
      </c>
      <c r="B24" s="55" t="e">
        <f>Calculations!J20</f>
        <v>#VALUE!</v>
      </c>
      <c r="C24" s="59">
        <v>0</v>
      </c>
      <c r="E24" s="55" t="e">
        <f t="shared" si="0"/>
        <v>#VALUE!</v>
      </c>
      <c r="F24" s="101" t="e">
        <f t="shared" si="6"/>
        <v>#VALUE!</v>
      </c>
      <c r="G24" s="101" t="str">
        <f>IF(Input!$C$15="No",IF(Input!C48&gt;0,Input!C48,"Levy"),IF(Input!$C$17="no",IF(Input!C48&gt;0,MIN(Input!C48,F24),F24),IF(Input!C48&gt;0,MIN(Input!C48,Input!C48*(Input!$C$26+$I$9)/Extension!$I$10,F24),F24)))</f>
        <v>Levy</v>
      </c>
      <c r="H24" s="61" t="e">
        <f t="shared" si="7"/>
        <v>#VALUE!</v>
      </c>
      <c r="I24" s="61" t="e">
        <f>IF(Input!$C$15="Yes",IF($I$13="N/A",H24,H24*$I$13),IF(Extension!E24&lt;Extension!H24,Extension!E24,Extension!H24))</f>
        <v>#VALUE!</v>
      </c>
      <c r="J24" s="101" t="e">
        <f t="shared" si="8"/>
        <v>#VALUE!</v>
      </c>
      <c r="L24" s="62">
        <v>0</v>
      </c>
      <c r="M24" s="54" t="e">
        <f t="shared" si="4"/>
        <v>#VALUE!</v>
      </c>
      <c r="N24" s="101" t="e">
        <f t="shared" si="5"/>
        <v>#VALUE!</v>
      </c>
    </row>
    <row r="25" spans="1:14" ht="15.75" x14ac:dyDescent="0.25">
      <c r="A25" s="80" t="str">
        <f>Calculations!A21</f>
        <v xml:space="preserve">Liability Insurance </v>
      </c>
      <c r="B25" s="55" t="e">
        <f>Calculations!J21</f>
        <v>#VALUE!</v>
      </c>
      <c r="C25" s="59">
        <v>0</v>
      </c>
      <c r="E25" s="55" t="e">
        <f t="shared" si="0"/>
        <v>#VALUE!</v>
      </c>
      <c r="F25" s="101" t="e">
        <f t="shared" si="6"/>
        <v>#VALUE!</v>
      </c>
      <c r="G25" s="101" t="str">
        <f>IF(Input!$C$15="No",IF(Input!C49&gt;0,Input!C49,"Levy"),IF(Input!$C$17="no",IF(Input!C49&gt;0,MIN(Input!C49,F25),F25),IF(Input!C49&gt;0,MIN(Input!C49,Input!C49*(Input!$C$26+$I$9)/Extension!$I$10,F25),F25)))</f>
        <v>Levy</v>
      </c>
      <c r="H25" s="61" t="e">
        <f t="shared" si="7"/>
        <v>#VALUE!</v>
      </c>
      <c r="I25" s="61" t="e">
        <f>IF(Input!$C$15="Yes",IF($I$13="N/A",H25,H25*$I$13),IF(Extension!E25&lt;Extension!H25,Extension!E25,Extension!H25))</f>
        <v>#VALUE!</v>
      </c>
      <c r="J25" s="101" t="e">
        <f t="shared" si="8"/>
        <v>#VALUE!</v>
      </c>
      <c r="L25" s="62">
        <v>0</v>
      </c>
      <c r="M25" s="54" t="e">
        <f t="shared" si="4"/>
        <v>#VALUE!</v>
      </c>
      <c r="N25" s="101" t="e">
        <f t="shared" si="5"/>
        <v>#VALUE!</v>
      </c>
    </row>
    <row r="26" spans="1:14" ht="15.75" x14ac:dyDescent="0.25">
      <c r="A26" s="80" t="str">
        <f>Calculations!A22</f>
        <v xml:space="preserve">Buildings Equipment and Maintenance </v>
      </c>
      <c r="B26" s="55">
        <f>Calculations!J22</f>
        <v>0</v>
      </c>
      <c r="C26" s="59">
        <v>0</v>
      </c>
      <c r="E26" s="55">
        <f t="shared" si="0"/>
        <v>0</v>
      </c>
      <c r="F26" s="101" t="e">
        <f t="shared" si="6"/>
        <v>#DIV/0!</v>
      </c>
      <c r="G26" s="101" t="str">
        <f>IF(Input!$C$15="No",IF(Input!C50&gt;0,Input!C50,"Levy"),IF(Input!$C$17="no",IF(Input!C50&gt;0,MIN(Input!C50,F26),F26),IF(Input!C50&gt;0,MIN(Input!C50,Input!C50*(Input!$C$26+$I$9)/Extension!$I$10,F26),F26)))</f>
        <v>Levy</v>
      </c>
      <c r="H26" s="61">
        <f t="shared" si="7"/>
        <v>0</v>
      </c>
      <c r="I26" s="61">
        <f>IF(Input!$C$15="Yes",IF($I$13="N/A",H26,H26*$I$13),IF(Extension!E26&lt;Extension!H26,Extension!E26,Extension!H26))</f>
        <v>0</v>
      </c>
      <c r="J26" s="101" t="e">
        <f t="shared" si="8"/>
        <v>#DIV/0!</v>
      </c>
      <c r="L26" s="62">
        <v>0</v>
      </c>
      <c r="M26" s="54">
        <f t="shared" si="4"/>
        <v>0</v>
      </c>
      <c r="N26" s="101">
        <f t="shared" si="5"/>
        <v>0</v>
      </c>
    </row>
    <row r="27" spans="1:14" ht="15.75" x14ac:dyDescent="0.25">
      <c r="A27" s="80" t="str">
        <f>Calculations!A23</f>
        <v xml:space="preserve">Custom 1 </v>
      </c>
      <c r="B27" s="55">
        <f>Calculations!J23</f>
        <v>0</v>
      </c>
      <c r="C27" s="59">
        <v>0</v>
      </c>
      <c r="E27" s="55">
        <f t="shared" si="0"/>
        <v>0</v>
      </c>
      <c r="F27" s="101" t="e">
        <f t="shared" si="6"/>
        <v>#DIV/0!</v>
      </c>
      <c r="G27" s="101" t="str">
        <f>IF(Input!$C$15="No",IF(Input!C51&gt;0,Input!C51,"Levy"),IF(Input!$C$17="no",IF(Input!C51&gt;0,MIN(Input!C51,F27),F27),IF(Input!C51&gt;0,MIN(Input!C51,Input!C51*(Input!$C$26+$I$9)/Extension!$I$10,F27),F27)))</f>
        <v>Levy</v>
      </c>
      <c r="H27" s="61">
        <f t="shared" si="7"/>
        <v>0</v>
      </c>
      <c r="I27" s="61">
        <f>IF(Input!$C$15="Yes",IF($I$13="N/A",H27,H27*$I$13),IF(Extension!E27&lt;Extension!H27,Extension!E27,Extension!H27))</f>
        <v>0</v>
      </c>
      <c r="J27" s="101" t="e">
        <f t="shared" si="8"/>
        <v>#DIV/0!</v>
      </c>
      <c r="L27" s="62">
        <v>0</v>
      </c>
      <c r="M27" s="54">
        <f t="shared" si="4"/>
        <v>0</v>
      </c>
      <c r="N27" s="101">
        <f t="shared" si="5"/>
        <v>0</v>
      </c>
    </row>
    <row r="28" spans="1:14" ht="15.75" x14ac:dyDescent="0.25">
      <c r="A28" s="80" t="str">
        <f>Calculations!A24</f>
        <v xml:space="preserve">Custom 2 </v>
      </c>
      <c r="B28" s="55">
        <f>Calculations!J24</f>
        <v>0</v>
      </c>
      <c r="C28" s="59">
        <v>0</v>
      </c>
      <c r="E28" s="55">
        <f t="shared" si="0"/>
        <v>0</v>
      </c>
      <c r="F28" s="101" t="e">
        <f t="shared" si="6"/>
        <v>#DIV/0!</v>
      </c>
      <c r="G28" s="101" t="str">
        <f>IF(Input!$C$15="No",IF(Input!C52&gt;0,Input!C52,"Levy"),IF(Input!$C$17="no",IF(Input!C52&gt;0,MIN(Input!C52,F28),F28),IF(Input!C52&gt;0,MIN(Input!C52,Input!C52*(Input!$C$26+$I$9)/Extension!$I$10,F28),F28)))</f>
        <v>Levy</v>
      </c>
      <c r="H28" s="61">
        <f t="shared" si="7"/>
        <v>0</v>
      </c>
      <c r="I28" s="61">
        <f>IF(Input!$C$15="Yes",IF($I$13="N/A",H28,H28*$I$13),IF(Extension!E28&lt;Extension!H28,Extension!E28,Extension!H28))</f>
        <v>0</v>
      </c>
      <c r="J28" s="101" t="e">
        <f t="shared" si="8"/>
        <v>#DIV/0!</v>
      </c>
      <c r="L28" s="62">
        <v>0</v>
      </c>
      <c r="M28" s="54">
        <f t="shared" si="4"/>
        <v>0</v>
      </c>
      <c r="N28" s="101">
        <f t="shared" si="5"/>
        <v>0</v>
      </c>
    </row>
    <row r="29" spans="1:14" ht="15.75" x14ac:dyDescent="0.25">
      <c r="A29" s="80" t="str">
        <f>Calculations!A25</f>
        <v xml:space="preserve">Custom 3 </v>
      </c>
      <c r="B29" s="55">
        <f>Calculations!J25</f>
        <v>0</v>
      </c>
      <c r="C29" s="59">
        <v>0</v>
      </c>
      <c r="E29" s="55">
        <f t="shared" si="0"/>
        <v>0</v>
      </c>
      <c r="F29" s="101" t="e">
        <f t="shared" si="1"/>
        <v>#DIV/0!</v>
      </c>
      <c r="G29" s="101" t="str">
        <f>IF(Input!$C$15="No",IF(Input!C53&gt;0,Input!C53,"Levy"),IF(Input!$C$17="no",IF(Input!C53&gt;0,MIN(Input!C53,F29),F29),IF(Input!C53&gt;0,MIN(Input!C53,Input!C53*(Input!$C$26+$I$9)/Extension!$I$10,F29),F29)))</f>
        <v>Levy</v>
      </c>
      <c r="H29" s="61">
        <f t="shared" si="2"/>
        <v>0</v>
      </c>
      <c r="I29" s="61">
        <f>IF(Input!$C$15="Yes",IF($I$13="N/A",H29,H29*$I$13),IF(Extension!E29&lt;Extension!H29,Extension!E29,Extension!H29))</f>
        <v>0</v>
      </c>
      <c r="J29" s="101" t="e">
        <f t="shared" si="3"/>
        <v>#DIV/0!</v>
      </c>
      <c r="L29" s="62">
        <v>0</v>
      </c>
      <c r="M29" s="54">
        <f t="shared" si="4"/>
        <v>0</v>
      </c>
      <c r="N29" s="101">
        <f t="shared" si="5"/>
        <v>0</v>
      </c>
    </row>
    <row r="30" spans="1:14" ht="15.75" customHeight="1" x14ac:dyDescent="0.2">
      <c r="B30" s="3"/>
      <c r="C30" s="3"/>
      <c r="K30" s="48"/>
      <c r="L30" s="141">
        <f>-L32</f>
        <v>0</v>
      </c>
      <c r="M30" s="103" t="str">
        <f>IF(L30&lt;0," Extension Reduction Needed, Net to $0"," Extension Increase Needed, Net to $0")</f>
        <v xml:space="preserve"> Extension Increase Needed, Net to $0</v>
      </c>
    </row>
    <row r="31" spans="1:14" ht="15.75" customHeight="1" x14ac:dyDescent="0.2">
      <c r="B31" s="3"/>
      <c r="C31" s="3"/>
    </row>
    <row r="32" spans="1:14" ht="15.75" x14ac:dyDescent="0.25">
      <c r="A32" s="2" t="str">
        <f>IF(Input!C15="Yes","Capped Levy/Extension/Rate ","Levy/Extension/Rate ")</f>
        <v xml:space="preserve">Levy/Extension/Rate </v>
      </c>
      <c r="B32" s="63" t="e">
        <f>SUM(B18:B29)</f>
        <v>#VALUE!</v>
      </c>
      <c r="C32" s="4"/>
      <c r="E32" s="63" t="e">
        <f>SUM(E18:E29)</f>
        <v>#VALUE!</v>
      </c>
      <c r="F32" s="102" t="e">
        <f>SUM(F18:F29)</f>
        <v>#DIV/0!</v>
      </c>
      <c r="G32" s="102">
        <f>SUM(G18:G29)</f>
        <v>0</v>
      </c>
      <c r="H32" s="64" t="e">
        <f>SUM(H18:H29)</f>
        <v>#VALUE!</v>
      </c>
      <c r="I32" s="64" t="e">
        <f>SUM(I18:I30)</f>
        <v>#VALUE!</v>
      </c>
      <c r="J32" s="102" t="e">
        <f>(I32/$I$10)*100</f>
        <v>#VALUE!</v>
      </c>
      <c r="L32" s="64">
        <f>SUM(L18:L29)</f>
        <v>0</v>
      </c>
      <c r="M32" s="64" t="e">
        <f>SUM(M18:M29)</f>
        <v>#VALUE!</v>
      </c>
      <c r="N32" s="102" t="e">
        <f>SUM(N18:N29)</f>
        <v>#VALUE!</v>
      </c>
    </row>
    <row r="33" spans="1:14" ht="15.75" x14ac:dyDescent="0.25">
      <c r="A33" s="2"/>
      <c r="H33" s="48"/>
      <c r="I33" s="47"/>
    </row>
    <row r="34" spans="1:14" ht="15.75" hidden="1" x14ac:dyDescent="0.25">
      <c r="A34" s="2" t="s">
        <v>100</v>
      </c>
      <c r="B34" s="55">
        <f>Calculations!J32</f>
        <v>0</v>
      </c>
      <c r="H34" s="2" t="s">
        <v>99</v>
      </c>
      <c r="I34" s="61">
        <f>MIN(B34,I10*MIN(4%,Calculations!F31)/100)</f>
        <v>0</v>
      </c>
      <c r="J34" s="102" t="e">
        <f>MIN((I34/$I$10)*100,I34/I10*100)</f>
        <v>#DIV/0!</v>
      </c>
      <c r="K34" s="53"/>
      <c r="L34" s="9" t="e">
        <f>IF(J34&lt;Calculations!F31,(J34-Calculations!F31)*I10/100,"")</f>
        <v>#DIV/0!</v>
      </c>
      <c r="N34" s="102" t="e">
        <f>J34</f>
        <v>#DIV/0!</v>
      </c>
    </row>
    <row r="35" spans="1:14" ht="15.75" hidden="1" x14ac:dyDescent="0.25">
      <c r="A35" s="2"/>
      <c r="K35" s="52"/>
      <c r="L35" s="135" t="e">
        <f>IF(L34&lt;0," ALERT - Special Recreation Levy Increase Needed","")</f>
        <v>#DIV/0!</v>
      </c>
      <c r="M35" s="135"/>
      <c r="N35" s="135"/>
    </row>
    <row r="36" spans="1:14" ht="15.75" x14ac:dyDescent="0.25">
      <c r="A36" s="2" t="s">
        <v>89</v>
      </c>
      <c r="B36" s="55">
        <f>Calculations!J34</f>
        <v>0</v>
      </c>
      <c r="C36" s="10"/>
      <c r="H36" s="2" t="s">
        <v>91</v>
      </c>
      <c r="I36" s="62"/>
      <c r="J36" s="102" t="e">
        <f>(I36/$I$10)*100</f>
        <v>#DIV/0!</v>
      </c>
      <c r="K36" s="53" t="s">
        <v>34</v>
      </c>
      <c r="N36" s="102" t="e">
        <f>J36</f>
        <v>#DIV/0!</v>
      </c>
    </row>
    <row r="37" spans="1:14" ht="15.75" x14ac:dyDescent="0.25">
      <c r="A37" s="2"/>
      <c r="B37" s="43"/>
      <c r="C37" s="4"/>
      <c r="E37" s="4"/>
      <c r="F37" s="4"/>
      <c r="G37" s="4"/>
    </row>
    <row r="38" spans="1:14" ht="15.75" x14ac:dyDescent="0.25">
      <c r="A38" s="2" t="s">
        <v>57</v>
      </c>
      <c r="B38" s="63" t="e">
        <f>B32+B36+B34</f>
        <v>#VALUE!</v>
      </c>
      <c r="C38" s="10"/>
      <c r="H38" s="2" t="s">
        <v>88</v>
      </c>
      <c r="I38" s="63" t="e">
        <f>I32+I36+I34</f>
        <v>#VALUE!</v>
      </c>
      <c r="J38" s="102" t="e">
        <f>J32+J34+J36</f>
        <v>#VALUE!</v>
      </c>
      <c r="M38" s="2"/>
      <c r="N38" s="102" t="e">
        <f>N32+N34+N36</f>
        <v>#VALUE!</v>
      </c>
    </row>
    <row r="39" spans="1:14" ht="12.75" x14ac:dyDescent="0.2">
      <c r="C39" s="3"/>
    </row>
    <row r="40" spans="1:14" ht="4.5" customHeight="1" x14ac:dyDescent="0.2">
      <c r="C40" s="3"/>
    </row>
    <row r="41" spans="1:14" ht="12.75" hidden="1" x14ac:dyDescent="0.2">
      <c r="C41" s="3"/>
    </row>
  </sheetData>
  <sheetProtection algorithmName="SHA-512" hashValue="Ojh9vxH0ep6xtHTKhee2U8utwFc6HWQJ+JdNj10jZgy+yiGamHtbIpjPqAbyS0myWL/JtZASP9b6lKWt5dr/yw==" saltValue="lo5TTmlhFYxLYiMT18qOwQ==" spinCount="100000" sheet="1" objects="1" scenarios="1"/>
  <mergeCells count="11">
    <mergeCell ref="A7:A8"/>
    <mergeCell ref="A2:C2"/>
    <mergeCell ref="C10:D10"/>
    <mergeCell ref="C11:D11"/>
    <mergeCell ref="B8:B9"/>
    <mergeCell ref="C8:D9"/>
    <mergeCell ref="N16:N17"/>
    <mergeCell ref="J16:J17"/>
    <mergeCell ref="G16:G17"/>
    <mergeCell ref="I16:I17"/>
    <mergeCell ref="H16:H17"/>
  </mergeCells>
  <conditionalFormatting sqref="A7:C7 E7:E9">
    <cfRule type="expression" dxfId="75" priority="173" stopIfTrue="1">
      <formula>$B$10="N/A"</formula>
    </cfRule>
  </conditionalFormatting>
  <conditionalFormatting sqref="A10:D11">
    <cfRule type="expression" dxfId="74" priority="144" stopIfTrue="1">
      <formula>$B$10="N/A"</formula>
    </cfRule>
  </conditionalFormatting>
  <conditionalFormatting sqref="B11">
    <cfRule type="expression" dxfId="73" priority="150" stopIfTrue="1">
      <formula>$B$10="N/A"</formula>
    </cfRule>
  </conditionalFormatting>
  <conditionalFormatting sqref="B8:C8">
    <cfRule type="expression" dxfId="72" priority="148" stopIfTrue="1">
      <formula>$B$10="N/A"</formula>
    </cfRule>
  </conditionalFormatting>
  <conditionalFormatting sqref="F18">
    <cfRule type="cellIs" dxfId="71" priority="143" operator="greaterThan">
      <formula>$G$18</formula>
    </cfRule>
  </conditionalFormatting>
  <conditionalFormatting sqref="F19">
    <cfRule type="cellIs" dxfId="69" priority="73" operator="greaterThan">
      <formula>$G$19</formula>
    </cfRule>
  </conditionalFormatting>
  <conditionalFormatting sqref="F20">
    <cfRule type="cellIs" dxfId="68" priority="11" operator="greaterThan">
      <formula>$G$20</formula>
    </cfRule>
  </conditionalFormatting>
  <conditionalFormatting sqref="F21">
    <cfRule type="cellIs" dxfId="67" priority="10" operator="greaterThan">
      <formula>$G$21</formula>
    </cfRule>
  </conditionalFormatting>
  <conditionalFormatting sqref="F22">
    <cfRule type="cellIs" dxfId="66" priority="9" operator="greaterThan">
      <formula>$G$22</formula>
    </cfRule>
  </conditionalFormatting>
  <conditionalFormatting sqref="F23">
    <cfRule type="cellIs" dxfId="65" priority="8" operator="greaterThan">
      <formula>$G$23</formula>
    </cfRule>
  </conditionalFormatting>
  <conditionalFormatting sqref="F24">
    <cfRule type="cellIs" dxfId="64" priority="7" operator="greaterThan">
      <formula>$G$24</formula>
    </cfRule>
  </conditionalFormatting>
  <conditionalFormatting sqref="F25">
    <cfRule type="cellIs" dxfId="63" priority="6" operator="greaterThan">
      <formula>$G$25</formula>
    </cfRule>
  </conditionalFormatting>
  <conditionalFormatting sqref="F26">
    <cfRule type="cellIs" dxfId="62" priority="5" operator="greaterThan">
      <formula>$G$26</formula>
    </cfRule>
  </conditionalFormatting>
  <conditionalFormatting sqref="F27">
    <cfRule type="cellIs" dxfId="61" priority="4" operator="greaterThan">
      <formula>$G$27</formula>
    </cfRule>
  </conditionalFormatting>
  <conditionalFormatting sqref="F28">
    <cfRule type="cellIs" dxfId="60" priority="3" operator="greaterThan">
      <formula>$G$28</formula>
    </cfRule>
  </conditionalFormatting>
  <conditionalFormatting sqref="F29">
    <cfRule type="cellIs" dxfId="59" priority="2" operator="greaterThan">
      <formula>$G$29</formula>
    </cfRule>
  </conditionalFormatting>
  <conditionalFormatting sqref="F2:H3">
    <cfRule type="expression" dxfId="58" priority="99" stopIfTrue="1">
      <formula>$C$17="No"</formula>
    </cfRule>
  </conditionalFormatting>
  <conditionalFormatting sqref="H14">
    <cfRule type="expression" dxfId="57" priority="65">
      <formula>$I$14&gt;0</formula>
    </cfRule>
  </conditionalFormatting>
  <conditionalFormatting sqref="H33:I33">
    <cfRule type="cellIs" dxfId="56" priority="116" operator="lessThan">
      <formula>0</formula>
    </cfRule>
  </conditionalFormatting>
  <conditionalFormatting sqref="I2:I3">
    <cfRule type="expression" dxfId="55" priority="102" stopIfTrue="1">
      <formula>$C$17="No"</formula>
    </cfRule>
  </conditionalFormatting>
  <conditionalFormatting sqref="I8:I9">
    <cfRule type="expression" dxfId="54" priority="70">
      <formula>$I$14&lt;0</formula>
    </cfRule>
  </conditionalFormatting>
  <conditionalFormatting sqref="I14 A7:D7 A9 H13:I13">
    <cfRule type="expression" dxfId="53" priority="164" stopIfTrue="1">
      <formula>$B$10="N/A"</formula>
    </cfRule>
  </conditionalFormatting>
  <conditionalFormatting sqref="I14">
    <cfRule type="cellIs" dxfId="52" priority="112" operator="lessThan">
      <formula>0</formula>
    </cfRule>
  </conditionalFormatting>
  <conditionalFormatting sqref="I18:I29">
    <cfRule type="expression" dxfId="51" priority="69">
      <formula>$I18&lt;$H18</formula>
    </cfRule>
  </conditionalFormatting>
  <conditionalFormatting sqref="J18">
    <cfRule type="expression" dxfId="49" priority="76">
      <formula>$J18&lt;$G18</formula>
    </cfRule>
    <cfRule type="expression" dxfId="48" priority="23">
      <formula>$J$18=0</formula>
    </cfRule>
    <cfRule type="expression" dxfId="47" priority="24">
      <formula>$G$18="Levy"</formula>
    </cfRule>
  </conditionalFormatting>
  <conditionalFormatting sqref="J19">
    <cfRule type="expression" dxfId="46" priority="13">
      <formula>$J$19=0</formula>
    </cfRule>
    <cfRule type="expression" dxfId="45" priority="48">
      <formula>$J$19&lt;$G$19</formula>
    </cfRule>
    <cfRule type="expression" dxfId="44" priority="39">
      <formula>$G$19="Levy"</formula>
    </cfRule>
  </conditionalFormatting>
  <conditionalFormatting sqref="J20">
    <cfRule type="expression" dxfId="43" priority="38">
      <formula>$G$20="Levy"</formula>
    </cfRule>
    <cfRule type="expression" dxfId="42" priority="22">
      <formula>$J$20=0</formula>
    </cfRule>
    <cfRule type="expression" dxfId="41" priority="49">
      <formula>$J$20&lt;$G$20</formula>
    </cfRule>
  </conditionalFormatting>
  <conditionalFormatting sqref="J21">
    <cfRule type="expression" dxfId="40" priority="21">
      <formula>$J$21=0</formula>
    </cfRule>
    <cfRule type="expression" dxfId="39" priority="36">
      <formula>$G$21="Levy"</formula>
    </cfRule>
    <cfRule type="expression" dxfId="38" priority="37">
      <formula>$J$21&lt;$G$21</formula>
    </cfRule>
  </conditionalFormatting>
  <conditionalFormatting sqref="J22">
    <cfRule type="expression" dxfId="37" priority="19">
      <formula>$J$22=0</formula>
    </cfRule>
    <cfRule type="expression" dxfId="36" priority="34">
      <formula>$G$22="Levy"</formula>
    </cfRule>
    <cfRule type="expression" dxfId="35" priority="35">
      <formula>$J$22&lt;$G$22</formula>
    </cfRule>
  </conditionalFormatting>
  <conditionalFormatting sqref="J23">
    <cfRule type="expression" dxfId="34" priority="20">
      <formula>$J$23=0</formula>
    </cfRule>
    <cfRule type="expression" dxfId="33" priority="32">
      <formula>$G$23="Levy"</formula>
    </cfRule>
    <cfRule type="expression" dxfId="32" priority="33">
      <formula>$J$23&lt;$G$23</formula>
    </cfRule>
  </conditionalFormatting>
  <conditionalFormatting sqref="J24">
    <cfRule type="expression" dxfId="31" priority="30">
      <formula>$G$24="Levy"</formula>
    </cfRule>
    <cfRule type="expression" dxfId="30" priority="31">
      <formula>$J$24&lt;$G$24</formula>
    </cfRule>
    <cfRule type="expression" dxfId="29" priority="18">
      <formula>$J$24=0</formula>
    </cfRule>
  </conditionalFormatting>
  <conditionalFormatting sqref="J25">
    <cfRule type="expression" dxfId="28" priority="17">
      <formula>$J$25=0</formula>
    </cfRule>
    <cfRule type="expression" dxfId="27" priority="29">
      <formula>$J$25&lt;$G$25</formula>
    </cfRule>
    <cfRule type="expression" dxfId="26" priority="28">
      <formula>$G$25="Levy"</formula>
    </cfRule>
  </conditionalFormatting>
  <conditionalFormatting sqref="J26">
    <cfRule type="expression" dxfId="25" priority="47">
      <formula>$J$26&lt;$G$26</formula>
    </cfRule>
    <cfRule type="expression" dxfId="24" priority="43">
      <formula>$G$26="Levy"</formula>
    </cfRule>
    <cfRule type="expression" dxfId="23" priority="26">
      <formula>$J$26=0</formula>
    </cfRule>
  </conditionalFormatting>
  <conditionalFormatting sqref="J27">
    <cfRule type="expression" dxfId="22" priority="42">
      <formula>$G$27="Levy"</formula>
    </cfRule>
    <cfRule type="expression" dxfId="21" priority="46">
      <formula>$J$27&lt;$G$27</formula>
    </cfRule>
    <cfRule type="expression" dxfId="20" priority="25">
      <formula>$J$27=0</formula>
    </cfRule>
  </conditionalFormatting>
  <conditionalFormatting sqref="J28">
    <cfRule type="expression" dxfId="19" priority="16">
      <formula>$J$28=0</formula>
    </cfRule>
    <cfRule type="expression" dxfId="18" priority="45">
      <formula>$J$28&lt;$G$28</formula>
    </cfRule>
    <cfRule type="expression" dxfId="17" priority="41">
      <formula>$G$28="Levy"</formula>
    </cfRule>
  </conditionalFormatting>
  <conditionalFormatting sqref="J29">
    <cfRule type="expression" dxfId="16" priority="14">
      <formula>$J$29=0</formula>
    </cfRule>
    <cfRule type="expression" dxfId="15" priority="40">
      <formula>$G$29="Levy"</formula>
    </cfRule>
    <cfRule type="expression" dxfId="14" priority="44">
      <formula>$J$29&lt;$G$29</formula>
    </cfRule>
  </conditionalFormatting>
  <conditionalFormatting sqref="J13:N13">
    <cfRule type="expression" dxfId="13" priority="71">
      <formula>$I$14&lt;0</formula>
    </cfRule>
    <cfRule type="expression" dxfId="12" priority="92">
      <formula>$I$13="N/A"</formula>
    </cfRule>
  </conditionalFormatting>
  <conditionalFormatting sqref="J14:N14">
    <cfRule type="expression" dxfId="11" priority="82">
      <formula>$I$14&lt;0</formula>
    </cfRule>
  </conditionalFormatting>
  <conditionalFormatting sqref="L30">
    <cfRule type="expression" dxfId="10" priority="78">
      <formula>$L$32=0</formula>
    </cfRule>
  </conditionalFormatting>
  <conditionalFormatting sqref="L32">
    <cfRule type="expression" dxfId="9" priority="81">
      <formula>$L$32&lt;0</formula>
    </cfRule>
    <cfRule type="expression" dxfId="8" priority="80">
      <formula>$L$32&gt;0</formula>
    </cfRule>
  </conditionalFormatting>
  <conditionalFormatting sqref="L34">
    <cfRule type="expression" dxfId="7" priority="51">
      <formula>$L$34&lt;0</formula>
    </cfRule>
  </conditionalFormatting>
  <conditionalFormatting sqref="L35:N35">
    <cfRule type="expression" dxfId="6" priority="52">
      <formula>$L$34&lt;0</formula>
    </cfRule>
  </conditionalFormatting>
  <conditionalFormatting sqref="M18:M29">
    <cfRule type="cellIs" dxfId="5" priority="123" operator="greaterThan">
      <formula>$E18</formula>
    </cfRule>
  </conditionalFormatting>
  <conditionalFormatting sqref="M30:N30">
    <cfRule type="expression" dxfId="4" priority="79">
      <formula>$L$32=0</formula>
    </cfRule>
  </conditionalFormatting>
  <pageMargins left="0.4" right="0.4" top="0.73" bottom="0.79" header="0.5" footer="0.49"/>
  <pageSetup scale="64" orientation="landscape" r:id="rId1"/>
  <headerFooter alignWithMargins="0"/>
  <ignoredErrors>
    <ignoredError sqref="I10" unlockedFormula="1"/>
  </ignoredErrors>
  <extLst>
    <ext xmlns:x14="http://schemas.microsoft.com/office/spreadsheetml/2009/9/main" uri="{78C0D931-6437-407d-A8EE-F0AAD7539E65}">
      <x14:conditionalFormattings>
        <x14:conditionalFormatting xmlns:xm="http://schemas.microsoft.com/office/excel/2006/main">
          <x14:cfRule type="expression" priority="1" id="{F533E96E-9F42-40B7-984F-046851FCFBCD}">
            <xm:f>Input!$C$15="No"</xm:f>
            <x14:dxf>
              <font>
                <color auto="1"/>
              </font>
              <fill>
                <patternFill>
                  <bgColor theme="4" tint="0.79998168889431442"/>
                </patternFill>
              </fill>
            </x14:dxf>
          </x14:cfRule>
          <xm:sqref>F18:F29</xm:sqref>
        </x14:conditionalFormatting>
        <x14:conditionalFormatting xmlns:xm="http://schemas.microsoft.com/office/excel/2006/main">
          <x14:cfRule type="expression" priority="12" id="{EBEB1B33-A073-4318-B255-232791041151}">
            <xm:f>Input!$C$15="Yes"</xm:f>
            <x14:dxf>
              <fill>
                <patternFill>
                  <bgColor theme="4" tint="0.79998168889431442"/>
                </patternFill>
              </fill>
            </x14:dxf>
          </x14:cfRule>
          <xm:sqref>I18:J29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DC04F-2542-4255-A00C-302E7FC9059C}">
  <sheetPr>
    <tabColor theme="5" tint="0.79998168889431442"/>
  </sheetPr>
  <dimension ref="A1:AD85"/>
  <sheetViews>
    <sheetView showGridLines="0" workbookViewId="0">
      <selection activeCell="G22" sqref="G22"/>
    </sheetView>
  </sheetViews>
  <sheetFormatPr defaultColWidth="0" defaultRowHeight="12.75" zeroHeight="1" x14ac:dyDescent="0.2"/>
  <cols>
    <col min="1" max="1" width="44.85546875" style="193" bestFit="1" customWidth="1"/>
    <col min="2" max="2" width="16.5703125" style="193" customWidth="1"/>
    <col min="3" max="4" width="9.140625" style="193" customWidth="1"/>
    <col min="5" max="5" width="10" style="193" customWidth="1"/>
    <col min="6" max="6" width="10.85546875" style="193" customWidth="1"/>
    <col min="7" max="7" width="10" style="193" customWidth="1"/>
    <col min="8" max="8" width="2.85546875" style="193" customWidth="1"/>
    <col min="9" max="9" width="13" style="193" customWidth="1"/>
    <col min="10" max="10" width="10.5703125" style="193" customWidth="1"/>
    <col min="11" max="12" width="9.140625" style="193" customWidth="1"/>
    <col min="13" max="13" width="16.5703125" style="193" customWidth="1"/>
    <col min="14" max="14" width="7.42578125" style="193" customWidth="1"/>
    <col min="15" max="15" width="13.7109375" style="193" customWidth="1"/>
    <col min="16" max="16" width="4.85546875" style="194" hidden="1" customWidth="1"/>
    <col min="17" max="30" width="0" style="194" hidden="1" customWidth="1"/>
    <col min="31" max="16384" width="9.140625" style="193" hidden="1"/>
  </cols>
  <sheetData>
    <row r="1" spans="1:28" ht="16.5" thickBot="1" x14ac:dyDescent="0.3">
      <c r="E1" s="78"/>
      <c r="F1" s="91" t="s">
        <v>32</v>
      </c>
      <c r="G1" s="78"/>
      <c r="H1" s="78"/>
    </row>
    <row r="2" spans="1:28" ht="18.75" x14ac:dyDescent="0.3">
      <c r="A2" s="254" t="str">
        <f>Input!$C$5&amp;" Taxpayer Impact Calculation Page"</f>
        <v>2023 Taxpayer Impact Calculation Page</v>
      </c>
      <c r="B2" s="254"/>
      <c r="E2" s="90"/>
      <c r="F2" s="107" t="s">
        <v>30</v>
      </c>
      <c r="G2" s="89"/>
      <c r="H2" s="78"/>
    </row>
    <row r="3" spans="1:28" x14ac:dyDescent="0.2">
      <c r="E3" s="75"/>
      <c r="F3" s="105" t="s">
        <v>31</v>
      </c>
      <c r="G3" s="76"/>
      <c r="H3" s="78"/>
    </row>
    <row r="4" spans="1:28" ht="16.5" thickBot="1" x14ac:dyDescent="0.3">
      <c r="B4" s="2" t="s">
        <v>132</v>
      </c>
      <c r="E4" s="98"/>
      <c r="F4" s="106" t="s">
        <v>35</v>
      </c>
      <c r="G4" s="99"/>
      <c r="H4" s="78"/>
      <c r="M4" s="50" t="s">
        <v>108</v>
      </c>
    </row>
    <row r="5" spans="1:28" x14ac:dyDescent="0.2"/>
    <row r="6" spans="1:28" ht="15.75" x14ac:dyDescent="0.25">
      <c r="A6" s="2" t="str">
        <f>Extension!H8</f>
        <v xml:space="preserve">Actual % Change to Existing EAV for 2023 </v>
      </c>
      <c r="B6" s="195">
        <f>Extension!I8</f>
        <v>0</v>
      </c>
      <c r="L6" s="5" t="str">
        <f>(Input!$C$5-1)&amp; " Fair Cash / Market Value Home"</f>
        <v>2022 Fair Cash / Market Value Home</v>
      </c>
      <c r="M6" s="196"/>
      <c r="Q6" s="197"/>
    </row>
    <row r="7" spans="1:28" ht="15.75" x14ac:dyDescent="0.25">
      <c r="A7" s="2" t="str">
        <f>"Actual EAV Value for "&amp; Input!C5&amp;" "</f>
        <v xml:space="preserve">Actual EAV Value for 2023 </v>
      </c>
      <c r="B7" s="198">
        <f>Input!C26*(1+B6)</f>
        <v>0</v>
      </c>
      <c r="L7" s="5"/>
      <c r="M7" s="5"/>
      <c r="Q7" s="197"/>
      <c r="Z7" s="194">
        <f>'[1]Tax Calculator - Calculations'!Z7</f>
        <v>3.0026999999999999</v>
      </c>
      <c r="AB7" s="194" t="s">
        <v>109</v>
      </c>
    </row>
    <row r="8" spans="1:28" ht="15.75" x14ac:dyDescent="0.2">
      <c r="A8" s="49"/>
      <c r="B8" s="199"/>
      <c r="C8" s="1"/>
      <c r="L8" s="5" t="str">
        <f>"Estimated "&amp;Input!C5&amp;" Fair Cash Value Home"</f>
        <v>Estimated 2023 Fair Cash Value Home</v>
      </c>
      <c r="M8" s="198">
        <f>M6*(1+B6)</f>
        <v>0</v>
      </c>
      <c r="N8" s="51" t="s">
        <v>110</v>
      </c>
      <c r="O8" s="1"/>
      <c r="Q8" s="197"/>
      <c r="X8" s="194" t="s">
        <v>111</v>
      </c>
      <c r="Y8" s="211">
        <v>0.1</v>
      </c>
      <c r="Z8" s="194">
        <f>'[1]Tax Calculator - Calculations'!Z8</f>
        <v>3.0026999999999999</v>
      </c>
      <c r="AA8" s="194">
        <v>10000</v>
      </c>
      <c r="AB8" s="194">
        <v>10000</v>
      </c>
    </row>
    <row r="9" spans="1:28" ht="15.75" x14ac:dyDescent="0.25">
      <c r="A9" s="2" t="str">
        <f>Extension!H9</f>
        <v xml:space="preserve">Actual New Property for 2023 </v>
      </c>
      <c r="B9" s="198">
        <f>Extension!I9</f>
        <v>0</v>
      </c>
      <c r="C9" s="1"/>
      <c r="L9" s="5"/>
      <c r="M9" s="5"/>
      <c r="N9" s="51"/>
      <c r="O9" s="1"/>
      <c r="Q9" s="197"/>
      <c r="X9" s="194" t="s">
        <v>112</v>
      </c>
      <c r="Y9" s="211">
        <f>((1/3)*100)%</f>
        <v>0.33333333333333326</v>
      </c>
      <c r="Z9" s="194">
        <f>'[1]Tax Calculator - Calculations'!Z9</f>
        <v>1</v>
      </c>
      <c r="AA9" s="194">
        <v>8000</v>
      </c>
      <c r="AB9" s="194">
        <v>6000</v>
      </c>
    </row>
    <row r="10" spans="1:28" ht="15.75" x14ac:dyDescent="0.25">
      <c r="A10" s="2" t="str">
        <f>"Actual Total EAV Value for "&amp; Input!C5&amp;" "</f>
        <v xml:space="preserve">Actual Total EAV Value for 2023 </v>
      </c>
      <c r="B10" s="198">
        <f>B7+B9</f>
        <v>0</v>
      </c>
      <c r="C10" s="51" t="s">
        <v>36</v>
      </c>
      <c r="L10" s="5" t="s">
        <v>113</v>
      </c>
      <c r="M10" s="198">
        <f>M8*N10</f>
        <v>0</v>
      </c>
      <c r="N10" s="175">
        <f>IF(Input!$C$9="Cook",'Tax Calculator - Extension'!Y8,'Tax Calculator - Extension'!Y9)</f>
        <v>0.33333333333333326</v>
      </c>
      <c r="O10" s="1"/>
      <c r="X10" s="194" t="s">
        <v>114</v>
      </c>
      <c r="Y10" s="211"/>
      <c r="AA10" s="194">
        <v>8000</v>
      </c>
    </row>
    <row r="11" spans="1:28" ht="15.75" customHeight="1" x14ac:dyDescent="0.2">
      <c r="B11" s="1"/>
      <c r="L11" s="5" t="s">
        <v>115</v>
      </c>
      <c r="M11" s="198">
        <f>M10*N11</f>
        <v>0</v>
      </c>
      <c r="N11" s="200">
        <f>IF(Input!$C$9="Cook",'Tax Calculator - Extension'!Z8,'Tax Calculator - Extension'!Z9)</f>
        <v>1</v>
      </c>
      <c r="O11" s="1"/>
      <c r="X11" s="194" t="s">
        <v>116</v>
      </c>
      <c r="Y11" s="211"/>
      <c r="AA11" s="194">
        <v>8000</v>
      </c>
    </row>
    <row r="12" spans="1:28" ht="15.75" x14ac:dyDescent="0.2">
      <c r="A12" s="5" t="str">
        <f>Input!$C$5-1&amp;" Operating Rate"</f>
        <v>2022 Operating Rate</v>
      </c>
      <c r="B12" s="201" t="e">
        <f>(Input!D55/Input!C26)*100</f>
        <v>#DIV/0!</v>
      </c>
      <c r="O12" s="1"/>
      <c r="X12" s="194" t="s">
        <v>117</v>
      </c>
      <c r="Y12" s="211"/>
      <c r="AA12" s="194">
        <v>8000</v>
      </c>
    </row>
    <row r="13" spans="1:28" ht="16.5" thickBot="1" x14ac:dyDescent="0.25">
      <c r="A13" s="5" t="str">
        <f>"Estimated "&amp;Input!$C$5&amp;" Operating Rate"</f>
        <v>Estimated 2023 Operating Rate</v>
      </c>
      <c r="B13" s="201" t="e">
        <f>Extension!N32</f>
        <v>#VALUE!</v>
      </c>
      <c r="C13" s="202"/>
      <c r="J13" s="1"/>
      <c r="K13" s="1"/>
      <c r="L13" s="5" t="s">
        <v>118</v>
      </c>
      <c r="M13" s="203">
        <f>IF(Input!$C$9="Cook",'Tax Calculator - Extension'!AB8,AB9)</f>
        <v>6000</v>
      </c>
      <c r="N13" s="276" t="s">
        <v>119</v>
      </c>
      <c r="O13" s="276"/>
      <c r="P13" s="204"/>
      <c r="X13" s="194" t="s">
        <v>120</v>
      </c>
      <c r="Y13" s="211"/>
      <c r="AA13" s="194">
        <v>8000</v>
      </c>
    </row>
    <row r="14" spans="1:28" ht="15.75" customHeight="1" x14ac:dyDescent="0.2">
      <c r="A14" s="165" t="str">
        <f>"Actual "&amp;Input!C5&amp;" Bond &amp; Interest Tax Rate"</f>
        <v>Actual 2023 Bond &amp; Interest Tax Rate</v>
      </c>
      <c r="B14" s="286" t="e">
        <f>((Extension!I36*(1+B16)/B10*100)+0.0000001)</f>
        <v>#DIV/0!</v>
      </c>
      <c r="C14" s="51" t="s">
        <v>121</v>
      </c>
      <c r="E14" s="277" t="s">
        <v>133</v>
      </c>
      <c r="F14" s="278"/>
      <c r="G14" s="279"/>
      <c r="J14" s="1"/>
      <c r="K14" s="1"/>
      <c r="L14" s="5" t="s">
        <v>122</v>
      </c>
      <c r="M14" s="203">
        <f>IF(Input!$C$9="Cook",'Tax Calculator - Extension'!AA8,IF(Input!$C$9="DuPage",'Tax Calculator - Extension'!AA9,IF(Input!C9="Lake",'Tax Calculator - Extension'!AA10,IF(Input!C9="McHenry",'Tax Calculator - Extension'!AA11,IF(Input!C9="Kane",'Tax Calculator - Extension'!AA12,IF(Input!C9="Will",'Tax Calculator - Extension'!AA13,AA14))))))</f>
        <v>6000</v>
      </c>
      <c r="N14" s="276"/>
      <c r="O14" s="276"/>
      <c r="P14" s="204"/>
      <c r="AA14" s="194">
        <v>6000</v>
      </c>
    </row>
    <row r="15" spans="1:28" ht="15.75" x14ac:dyDescent="0.2">
      <c r="A15" s="5"/>
      <c r="B15" s="5"/>
      <c r="C15" s="5"/>
      <c r="D15" s="5"/>
      <c r="E15" s="280"/>
      <c r="F15" s="281"/>
      <c r="G15" s="282"/>
      <c r="M15" s="1"/>
      <c r="N15" s="205"/>
      <c r="O15" s="205"/>
    </row>
    <row r="16" spans="1:28" ht="16.5" thickBot="1" x14ac:dyDescent="0.25">
      <c r="A16" s="5" t="s">
        <v>123</v>
      </c>
      <c r="B16" s="183"/>
      <c r="C16" s="51"/>
      <c r="E16" s="283"/>
      <c r="F16" s="284"/>
      <c r="G16" s="285"/>
      <c r="L16" s="5" t="s">
        <v>124</v>
      </c>
      <c r="M16" s="203">
        <f>M11-M14</f>
        <v>-6000</v>
      </c>
      <c r="N16" s="206"/>
      <c r="O16" s="3"/>
    </row>
    <row r="17" spans="1:15" ht="12.75" customHeight="1" x14ac:dyDescent="0.2">
      <c r="M17" s="1"/>
      <c r="N17" s="1"/>
      <c r="O17" s="1"/>
    </row>
    <row r="18" spans="1:15" ht="15.75" x14ac:dyDescent="0.2">
      <c r="A18" s="5" t="s">
        <v>125</v>
      </c>
      <c r="B18" s="186">
        <v>0</v>
      </c>
      <c r="C18" s="81" t="s">
        <v>126</v>
      </c>
      <c r="L18" s="5" t="str">
        <f>"Estimated Change in Tax Payment for "&amp; Input!C5</f>
        <v>Estimated Change in Tax Payment for 2023</v>
      </c>
      <c r="M18" s="203" t="e">
        <f>(M16*(B23)/100)-(((((M6*N10)*IF(Input!C9="Cook",Z7,Z9))-M13)*(B24)/100))</f>
        <v>#DIV/0!</v>
      </c>
      <c r="N18" s="1"/>
      <c r="O18" s="1"/>
    </row>
    <row r="19" spans="1:15" ht="15.75" x14ac:dyDescent="0.2">
      <c r="A19" s="5" t="s">
        <v>127</v>
      </c>
      <c r="B19" s="201" t="e">
        <f>((B18*(1+B16))/B10*100)</f>
        <v>#DIV/0!</v>
      </c>
      <c r="C19" s="81" t="s">
        <v>128</v>
      </c>
    </row>
    <row r="20" spans="1:15" ht="15.75" customHeight="1" x14ac:dyDescent="0.2">
      <c r="A20" s="5"/>
      <c r="B20" s="5"/>
      <c r="C20" s="81"/>
      <c r="I20" s="187" t="str">
        <f>"Note, the calculator is intended to estimate the "&amp;Input!C7&amp;" portion of the tax bill."</f>
        <v>Note, the calculator is intended to estimate the  portion of the tax bill.</v>
      </c>
      <c r="J20" s="188"/>
      <c r="K20" s="188"/>
      <c r="L20" s="188"/>
      <c r="M20" s="188"/>
      <c r="N20" s="188"/>
    </row>
    <row r="21" spans="1:15" ht="15.75" customHeight="1" x14ac:dyDescent="0.2">
      <c r="A21" s="5" t="str">
        <f>"Net "&amp;Input!$C$5&amp;" B&amp;I Tax Rate"</f>
        <v>Net 2023 B&amp;I Tax Rate</v>
      </c>
      <c r="B21" s="201" t="e">
        <f>(IF(B14&gt;B19,B14-B19,"Check Abatement"))</f>
        <v>#DIV/0!</v>
      </c>
      <c r="I21" s="267" t="s">
        <v>130</v>
      </c>
      <c r="J21" s="267"/>
      <c r="K21" s="267"/>
      <c r="L21" s="267"/>
      <c r="M21" s="267"/>
      <c r="N21" s="267"/>
      <c r="O21" s="267"/>
    </row>
    <row r="22" spans="1:15" ht="15.75" customHeight="1" x14ac:dyDescent="0.2">
      <c r="A22" s="5"/>
      <c r="B22" s="5"/>
      <c r="C22" s="81"/>
      <c r="I22" s="267"/>
      <c r="J22" s="267"/>
      <c r="K22" s="267"/>
      <c r="L22" s="267"/>
      <c r="M22" s="267"/>
      <c r="N22" s="267"/>
      <c r="O22" s="267"/>
    </row>
    <row r="23" spans="1:15" ht="15.75" x14ac:dyDescent="0.2">
      <c r="A23" s="5" t="str">
        <f>"Total "&amp;Input!$C$5&amp;" Tax Rate"</f>
        <v>Total 2023 Tax Rate</v>
      </c>
      <c r="B23" s="201" t="e">
        <f>B21+B13</f>
        <v>#DIV/0!</v>
      </c>
      <c r="I23" s="267"/>
      <c r="J23" s="267"/>
      <c r="K23" s="267"/>
      <c r="L23" s="267"/>
      <c r="M23" s="267"/>
      <c r="N23" s="267"/>
      <c r="O23" s="267"/>
    </row>
    <row r="24" spans="1:15" ht="15.75" x14ac:dyDescent="0.2">
      <c r="A24" s="5" t="s">
        <v>131</v>
      </c>
      <c r="B24" s="201" t="e">
        <f>Input!D61/Input!C26*100</f>
        <v>#DIV/0!</v>
      </c>
      <c r="I24" s="207"/>
      <c r="J24" s="207"/>
      <c r="K24" s="207"/>
      <c r="L24" s="207"/>
      <c r="M24" s="207"/>
      <c r="N24" s="207"/>
      <c r="O24" s="189"/>
    </row>
    <row r="25" spans="1:15" ht="15.75" x14ac:dyDescent="0.2">
      <c r="A25" s="5"/>
      <c r="B25" s="5"/>
      <c r="I25" s="207"/>
      <c r="J25" s="207"/>
      <c r="K25" s="207"/>
      <c r="L25" s="207"/>
      <c r="M25" s="207"/>
      <c r="N25" s="207"/>
      <c r="O25" s="189"/>
    </row>
    <row r="26" spans="1:15" s="194" customFormat="1" hidden="1" x14ac:dyDescent="0.2"/>
    <row r="27" spans="1:15" s="194" customFormat="1" hidden="1" x14ac:dyDescent="0.2"/>
    <row r="28" spans="1:15" s="194" customFormat="1" hidden="1" x14ac:dyDescent="0.2"/>
    <row r="29" spans="1:15" s="194" customFormat="1" hidden="1" x14ac:dyDescent="0.2"/>
    <row r="30" spans="1:15" s="194" customFormat="1" hidden="1" x14ac:dyDescent="0.2"/>
    <row r="31" spans="1:15" s="194" customFormat="1" hidden="1" x14ac:dyDescent="0.2"/>
    <row r="32" spans="1:15" s="194" customFormat="1" hidden="1" x14ac:dyDescent="0.2"/>
    <row r="33" s="194" customFormat="1" hidden="1" x14ac:dyDescent="0.2"/>
    <row r="34" s="194" customFormat="1" hidden="1" x14ac:dyDescent="0.2"/>
    <row r="35" s="194" customFormat="1" hidden="1" x14ac:dyDescent="0.2"/>
    <row r="36" s="194" customFormat="1" hidden="1" x14ac:dyDescent="0.2"/>
    <row r="37" s="194" customFormat="1" hidden="1" x14ac:dyDescent="0.2"/>
    <row r="38" s="194" customFormat="1" hidden="1" x14ac:dyDescent="0.2"/>
    <row r="39" s="194" customFormat="1" hidden="1" x14ac:dyDescent="0.2"/>
    <row r="40" s="194" customFormat="1" hidden="1" x14ac:dyDescent="0.2"/>
    <row r="41" s="194" customFormat="1" hidden="1" x14ac:dyDescent="0.2"/>
    <row r="42" s="194" customFormat="1" hidden="1" x14ac:dyDescent="0.2"/>
    <row r="43" s="194" customFormat="1" hidden="1" x14ac:dyDescent="0.2"/>
    <row r="44" s="194" customFormat="1" hidden="1" x14ac:dyDescent="0.2"/>
    <row r="45" s="194" customFormat="1" hidden="1" x14ac:dyDescent="0.2"/>
    <row r="46" s="194" customFormat="1" hidden="1" x14ac:dyDescent="0.2"/>
    <row r="47" s="194" customFormat="1" hidden="1" x14ac:dyDescent="0.2"/>
    <row r="48" s="194" customFormat="1" hidden="1" x14ac:dyDescent="0.2"/>
    <row r="49" s="194" customFormat="1" hidden="1" x14ac:dyDescent="0.2"/>
    <row r="50" s="194" customFormat="1" hidden="1" x14ac:dyDescent="0.2"/>
    <row r="51" s="194" customFormat="1" hidden="1" x14ac:dyDescent="0.2"/>
    <row r="52" s="194" customFormat="1" hidden="1" x14ac:dyDescent="0.2"/>
    <row r="53" s="194" customFormat="1" hidden="1" x14ac:dyDescent="0.2"/>
    <row r="54" s="194" customFormat="1" hidden="1" x14ac:dyDescent="0.2"/>
    <row r="55" s="194" customFormat="1" hidden="1" x14ac:dyDescent="0.2"/>
    <row r="56" s="194" customFormat="1" hidden="1" x14ac:dyDescent="0.2"/>
    <row r="57" s="194" customFormat="1" hidden="1" x14ac:dyDescent="0.2"/>
    <row r="58" s="194" customFormat="1" hidden="1" x14ac:dyDescent="0.2"/>
    <row r="59" s="194" customFormat="1" hidden="1" x14ac:dyDescent="0.2"/>
    <row r="60" s="194" customFormat="1" hidden="1" x14ac:dyDescent="0.2"/>
    <row r="61" s="194" customFormat="1" hidden="1" x14ac:dyDescent="0.2"/>
    <row r="62" s="194" customFormat="1" hidden="1" x14ac:dyDescent="0.2"/>
    <row r="63" s="194" customFormat="1" hidden="1" x14ac:dyDescent="0.2"/>
    <row r="64" s="194" customFormat="1" hidden="1" x14ac:dyDescent="0.2"/>
    <row r="65" s="194" customFormat="1" hidden="1" x14ac:dyDescent="0.2"/>
    <row r="66" s="194" customFormat="1" hidden="1" x14ac:dyDescent="0.2"/>
    <row r="67" s="194" customFormat="1" hidden="1" x14ac:dyDescent="0.2"/>
    <row r="68" s="194" customFormat="1" hidden="1" x14ac:dyDescent="0.2"/>
    <row r="69" s="194" customFormat="1" hidden="1" x14ac:dyDescent="0.2"/>
    <row r="70" s="194" customFormat="1" hidden="1" x14ac:dyDescent="0.2"/>
    <row r="71" s="194" customFormat="1" hidden="1" x14ac:dyDescent="0.2"/>
    <row r="72" s="194" customFormat="1" hidden="1" x14ac:dyDescent="0.2"/>
    <row r="73" s="194" customFormat="1" hidden="1" x14ac:dyDescent="0.2"/>
    <row r="74" s="194" customFormat="1" hidden="1" x14ac:dyDescent="0.2"/>
    <row r="75" s="194" customFormat="1" hidden="1" x14ac:dyDescent="0.2"/>
    <row r="76" s="194" customFormat="1" hidden="1" x14ac:dyDescent="0.2"/>
    <row r="77" s="194" customFormat="1" hidden="1" x14ac:dyDescent="0.2"/>
    <row r="78" s="194" customFormat="1" hidden="1" x14ac:dyDescent="0.2"/>
    <row r="79" s="194" customFormat="1" hidden="1" x14ac:dyDescent="0.2"/>
    <row r="80" s="194" customFormat="1" hidden="1" x14ac:dyDescent="0.2"/>
    <row r="81" spans="1:15" s="194" customFormat="1" hidden="1" x14ac:dyDescent="0.2"/>
    <row r="82" spans="1:15" s="194" customFormat="1" hidden="1" x14ac:dyDescent="0.2"/>
    <row r="83" spans="1:15" s="194" customFormat="1" hidden="1" x14ac:dyDescent="0.2"/>
    <row r="84" spans="1:15" hidden="1" x14ac:dyDescent="0.2">
      <c r="A84" s="194"/>
      <c r="B84" s="194"/>
      <c r="C84" s="194"/>
      <c r="I84" s="194"/>
      <c r="J84" s="194"/>
      <c r="K84" s="194"/>
      <c r="L84" s="194"/>
      <c r="M84" s="194"/>
      <c r="N84" s="194"/>
      <c r="O84" s="194"/>
    </row>
    <row r="85" spans="1:15" hidden="1" x14ac:dyDescent="0.2">
      <c r="I85" s="194"/>
      <c r="J85" s="194"/>
      <c r="K85" s="194"/>
      <c r="L85" s="194"/>
      <c r="M85" s="194"/>
      <c r="N85" s="194"/>
      <c r="O85" s="194"/>
    </row>
  </sheetData>
  <sheetProtection algorithmName="SHA-512" hashValue="H1riL4RqkpZ+MmUG7qR4F+u36SchBtOxR/ZsK8lwos/rtq0HoLvSdybHbRnpuXOK95POBSsT/qryQVj13aeZsg==" saltValue="6MmvJPnBG7Mckwomn62X4w==" spinCount="100000" sheet="1" objects="1" scenarios="1"/>
  <mergeCells count="4">
    <mergeCell ref="A2:B2"/>
    <mergeCell ref="N13:O14"/>
    <mergeCell ref="E14:G16"/>
    <mergeCell ref="I21:O23"/>
  </mergeCells>
  <conditionalFormatting sqref="A12:A16">
    <cfRule type="expression" dxfId="3" priority="2" stopIfTrue="1">
      <formula>$B$19="N/A"</formula>
    </cfRule>
  </conditionalFormatting>
  <conditionalFormatting sqref="L6:L11 M7 M9 L13:L14 B15:D15 L16 A18:A19 A20:B20 A21:A25 B22 B25">
    <cfRule type="expression" dxfId="1" priority="5" stopIfTrue="1">
      <formula>$B$19="N/A"</formula>
    </cfRule>
  </conditionalFormatting>
  <conditionalFormatting sqref="L18">
    <cfRule type="expression" dxfId="0" priority="4" stopIfTrue="1">
      <formula>$B$19="N/A"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cellIs" priority="1" operator="between" id="{9842BF34-BA5C-4C8E-894B-AF923C0D1579}">
            <xm:f>0</xm:f>
            <xm:f>Extension!$I$36</xm:f>
            <x14:dxf>
              <fill>
                <patternFill>
                  <bgColor rgb="FFCCFFCC"/>
                </patternFill>
              </fill>
            </x14:dxf>
          </x14:cfRule>
          <xm:sqref>B18</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75" x14ac:dyDescent="0.2"/>
  <sheetData>
    <row r="1" spans="1:2" x14ac:dyDescent="0.2">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9F968F-E0AD-42DD-A772-6572511C635C}">
  <ds:schemaRefs>
    <ds:schemaRef ds:uri="http://purl.org/dc/dcmitype/"/>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schemas.microsoft.com/office/2006/documentManagement/types"/>
    <ds:schemaRef ds:uri="29b36ee5-1ca7-46dd-b5f0-cd38d455131d"/>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CFCF6-AA6C-4018-A70B-1090EAADEF03}">
  <ds:schemaRefs>
    <ds:schemaRef ds:uri="http://schemas.microsoft.com/sharepoint/v3/contenttype/forms"/>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Disclaimer</vt:lpstr>
      <vt:lpstr>Instructions</vt:lpstr>
      <vt:lpstr>Input</vt:lpstr>
      <vt:lpstr>Calculations</vt:lpstr>
      <vt:lpstr>copyright_disclaimer</vt:lpstr>
      <vt:lpstr>Tax Calculator - Calculations</vt:lpstr>
      <vt:lpstr>Extension</vt:lpstr>
      <vt:lpstr>Tax Calculator - Extension</vt:lpstr>
      <vt:lpstr>InfoPage</vt:lpstr>
      <vt:lpstr>Calculations!Print_Area</vt:lpstr>
      <vt:lpstr>Extension!Print_Area</vt:lpstr>
      <vt:lpstr>Input!Print_Area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Jasen Pinkerton</cp:lastModifiedBy>
  <cp:lastPrinted>2020-05-20T14:04:57Z</cp:lastPrinted>
  <dcterms:created xsi:type="dcterms:W3CDTF">2001-07-03T19:36:57Z</dcterms:created>
  <dcterms:modified xsi:type="dcterms:W3CDTF">2023-08-23T14:44:30Z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