
<file path=[Content_Types].xml><?xml version="1.0" encoding="utf-8"?>
<Types xmlns="http://schemas.openxmlformats.org/package/2006/content-types">
  <Default Extension="bin" ContentType="application/vnd.openxmlformats-officedocument.spreadsheetml.printerSettings"/>
  <Default Extension="doc" ContentType="application/msword"/>
  <Default Extension="docx" ContentType="application/vnd.openxmlformats-officedocument.wordprocessingml.document"/>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830"/>
  <workbookPr codeName="ThisWorkbook" defaultThemeVersion="124226"/>
  <mc:AlternateContent xmlns:mc="http://schemas.openxmlformats.org/markup-compatibility/2006">
    <mc:Choice Requires="x15">
      <x15ac:absPath xmlns:x15ac="http://schemas.microsoft.com/office/spreadsheetml/2010/11/ac" url="L:\Public Finance\Miscellaneous\Presentations\Levy Workshops\2024\"/>
    </mc:Choice>
  </mc:AlternateContent>
  <xr:revisionPtr revIDLastSave="0" documentId="13_ncr:1_{652AD890-C794-4EFB-9F36-E3A2729DE9E2}" xr6:coauthVersionLast="47" xr6:coauthVersionMax="47" xr10:uidLastSave="{00000000-0000-0000-0000-000000000000}"/>
  <bookViews>
    <workbookView xWindow="-38510" yWindow="-110" windowWidth="19420" windowHeight="10300" xr2:uid="{00000000-000D-0000-FFFF-FFFF00000000}"/>
  </bookViews>
  <sheets>
    <sheet name="Disclaimer" sheetId="19" r:id="rId1"/>
    <sheet name="Instructions" sheetId="16" r:id="rId2"/>
    <sheet name="Input" sheetId="5" r:id="rId3"/>
    <sheet name="Calculations" sheetId="9" r:id="rId4"/>
    <sheet name="copyright_disclaimer" sheetId="15" state="hidden" r:id="rId5"/>
    <sheet name="Tax Calculator - Calculations" sheetId="21" r:id="rId6"/>
    <sheet name="Extension" sheetId="17" r:id="rId7"/>
    <sheet name="Tax Calculator - Extension" sheetId="20" r:id="rId8"/>
    <sheet name="Truth in Taxation" sheetId="22" r:id="rId9"/>
    <sheet name="InfoPage" sheetId="3" state="hidden" r:id="rId10"/>
  </sheets>
  <externalReferences>
    <externalReference r:id="rId11"/>
  </externalReferences>
  <definedNames>
    <definedName name="_xlnm.Print_Area" localSheetId="3">Calculations!$A$1:$L$44</definedName>
    <definedName name="_xlnm.Print_Area" localSheetId="6">Extension!$A$1:$N$45</definedName>
    <definedName name="_xlnm.Print_Area" localSheetId="2">Input!$A$7:$H$80</definedName>
    <definedName name="_xlnm.Print_Area" localSheetId="8">'Truth in Taxation'!$A$1:$Q$51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5" i="9" l="1"/>
  <c r="K27" i="9"/>
  <c r="C27" i="9"/>
  <c r="A30" i="17"/>
  <c r="A31" i="17"/>
  <c r="A26" i="9" l="1"/>
  <c r="A27" i="9"/>
  <c r="D36" i="22"/>
  <c r="D33" i="22"/>
  <c r="D29" i="22"/>
  <c r="D26" i="22"/>
  <c r="D25" i="22"/>
  <c r="D21" i="22" l="1"/>
  <c r="D71" i="5"/>
  <c r="D72" i="5"/>
  <c r="D63" i="5"/>
  <c r="D17" i="22"/>
  <c r="D8" i="22"/>
  <c r="D13" i="22"/>
  <c r="T8" i="22"/>
  <c r="D9" i="22" s="1"/>
  <c r="D7" i="22"/>
  <c r="D5" i="22"/>
  <c r="H8" i="9" l="1"/>
  <c r="B9" i="21" s="1"/>
  <c r="A9" i="21"/>
  <c r="G8" i="9"/>
  <c r="B27" i="9"/>
  <c r="C40" i="5" l="1"/>
  <c r="D27" i="9" s="1"/>
  <c r="B38" i="5"/>
  <c r="D34" i="5"/>
  <c r="B34" i="5"/>
  <c r="B36" i="5"/>
  <c r="B32" i="5"/>
  <c r="C26" i="9"/>
  <c r="D62" i="5"/>
  <c r="B26" i="9" s="1"/>
  <c r="E68" i="5" l="1"/>
  <c r="K21" i="9" l="1"/>
  <c r="D52" i="5" l="1"/>
  <c r="G36" i="9"/>
  <c r="G39" i="9"/>
  <c r="A2" i="20"/>
  <c r="A25" i="20"/>
  <c r="A24" i="20"/>
  <c r="A15" i="20"/>
  <c r="M15" i="20"/>
  <c r="Z9" i="20"/>
  <c r="Z8" i="20"/>
  <c r="Z7" i="20"/>
  <c r="A7" i="20"/>
  <c r="L19" i="20"/>
  <c r="L8" i="20"/>
  <c r="L6" i="20"/>
  <c r="A27" i="20"/>
  <c r="I21" i="20"/>
  <c r="A22" i="20"/>
  <c r="A14" i="20"/>
  <c r="A13" i="20"/>
  <c r="A11" i="20"/>
  <c r="L6" i="21"/>
  <c r="L8" i="21"/>
  <c r="L19" i="21"/>
  <c r="A27" i="21"/>
  <c r="A22" i="21"/>
  <c r="A15" i="21"/>
  <c r="A14" i="21"/>
  <c r="A13" i="21"/>
  <c r="A7" i="21"/>
  <c r="A2" i="21"/>
  <c r="M15" i="21"/>
  <c r="N12" i="21"/>
  <c r="I21" i="21"/>
  <c r="Y9" i="21" l="1"/>
  <c r="N11" i="21" s="1"/>
  <c r="N12" i="20"/>
  <c r="Y9" i="20"/>
  <c r="N11" i="20" s="1"/>
  <c r="B40" i="9" l="1"/>
  <c r="K20" i="9"/>
  <c r="K19" i="9"/>
  <c r="C16" i="9" l="1"/>
  <c r="H68" i="5" l="1"/>
  <c r="G68" i="5"/>
  <c r="F68" i="5"/>
  <c r="B30" i="5"/>
  <c r="D28" i="5" l="1"/>
  <c r="D70" i="5" l="1"/>
  <c r="C28" i="9" l="1"/>
  <c r="C29" i="9"/>
  <c r="A28" i="9"/>
  <c r="A32" i="17" s="1"/>
  <c r="A29" i="9"/>
  <c r="A33" i="17" s="1"/>
  <c r="D19" i="9"/>
  <c r="D20" i="9"/>
  <c r="C19" i="9"/>
  <c r="C20" i="9"/>
  <c r="A19" i="9"/>
  <c r="A23" i="17" s="1"/>
  <c r="A20" i="9"/>
  <c r="A24" i="17" s="1"/>
  <c r="D64" i="5"/>
  <c r="B28" i="9" s="1"/>
  <c r="D65" i="5"/>
  <c r="B29" i="9" s="1"/>
  <c r="D55" i="5"/>
  <c r="B19" i="9" s="1"/>
  <c r="D56" i="5"/>
  <c r="B20" i="9" s="1"/>
  <c r="A15" i="9"/>
  <c r="A19" i="17" s="1"/>
  <c r="A16" i="9"/>
  <c r="A20" i="17" s="1"/>
  <c r="A17" i="9"/>
  <c r="A21" i="17" s="1"/>
  <c r="A18" i="9"/>
  <c r="A22" i="17" s="1"/>
  <c r="A21" i="9"/>
  <c r="A25" i="17" s="1"/>
  <c r="A22" i="9"/>
  <c r="A26" i="17" s="1"/>
  <c r="A23" i="9"/>
  <c r="A27" i="17" s="1"/>
  <c r="A24" i="9"/>
  <c r="A28" i="17" s="1"/>
  <c r="A25" i="9"/>
  <c r="A29" i="17" s="1"/>
  <c r="A30" i="9"/>
  <c r="A34" i="17" s="1"/>
  <c r="A14" i="9"/>
  <c r="A18" i="17" s="1"/>
  <c r="B37" i="9" l="1"/>
  <c r="C23" i="9"/>
  <c r="C21" i="9"/>
  <c r="C18" i="9"/>
  <c r="H16" i="17" l="1"/>
  <c r="G16" i="17"/>
  <c r="G12" i="9"/>
  <c r="H14" i="17"/>
  <c r="A37" i="17"/>
  <c r="A33" i="9"/>
  <c r="I33" i="9"/>
  <c r="I16" i="17"/>
  <c r="J13" i="17"/>
  <c r="K23" i="9"/>
  <c r="K18" i="9"/>
  <c r="D18" i="9"/>
  <c r="D21" i="9"/>
  <c r="A6" i="21"/>
  <c r="G5" i="9"/>
  <c r="F12" i="9" l="1"/>
  <c r="H11" i="17"/>
  <c r="H10" i="17"/>
  <c r="H9" i="17"/>
  <c r="A9" i="20" s="1"/>
  <c r="H8" i="17"/>
  <c r="A6" i="20" s="1"/>
  <c r="H5" i="17"/>
  <c r="H4" i="17"/>
  <c r="H3" i="17"/>
  <c r="H2" i="17"/>
  <c r="D30" i="5"/>
  <c r="E49" i="5"/>
  <c r="D49" i="5"/>
  <c r="G11" i="9"/>
  <c r="G10" i="9"/>
  <c r="G6" i="9"/>
  <c r="G3" i="9"/>
  <c r="D13" i="9"/>
  <c r="C76" i="5"/>
  <c r="C74" i="5"/>
  <c r="C68" i="5"/>
  <c r="B40" i="5"/>
  <c r="A11" i="21" s="1"/>
  <c r="A50" i="5" l="1"/>
  <c r="A52" i="5"/>
  <c r="L37" i="17" l="1"/>
  <c r="L35" i="17" s="1"/>
  <c r="M35" i="17" s="1"/>
  <c r="H3" i="9" l="1"/>
  <c r="A2" i="17"/>
  <c r="C14" i="9"/>
  <c r="C15" i="9"/>
  <c r="C17" i="9"/>
  <c r="C22" i="9"/>
  <c r="C24" i="9"/>
  <c r="C25" i="9"/>
  <c r="C30" i="9"/>
  <c r="I9" i="17"/>
  <c r="B9" i="20" s="1"/>
  <c r="H2" i="9"/>
  <c r="A2" i="9"/>
  <c r="I3" i="17"/>
  <c r="D50" i="5"/>
  <c r="D51" i="5"/>
  <c r="B15" i="9" s="1"/>
  <c r="B16" i="9"/>
  <c r="D53" i="5"/>
  <c r="B17" i="9" s="1"/>
  <c r="D54" i="5"/>
  <c r="B18" i="9" s="1"/>
  <c r="D57" i="5"/>
  <c r="B21" i="9" s="1"/>
  <c r="D58" i="5"/>
  <c r="B22" i="9" s="1"/>
  <c r="D59" i="5"/>
  <c r="B23" i="9" s="1"/>
  <c r="D60" i="5"/>
  <c r="B24" i="9" s="1"/>
  <c r="D61" i="5"/>
  <c r="B25" i="9" s="1"/>
  <c r="D66" i="5"/>
  <c r="B30" i="9" s="1"/>
  <c r="D23" i="9"/>
  <c r="H49" i="5"/>
  <c r="G49" i="5"/>
  <c r="F49" i="5"/>
  <c r="B42" i="9"/>
  <c r="J42" i="9"/>
  <c r="B43" i="17" l="1"/>
  <c r="D30" i="22"/>
  <c r="D16" i="9"/>
  <c r="D26" i="9"/>
  <c r="C41" i="5"/>
  <c r="I2" i="17" s="1"/>
  <c r="D28" i="9"/>
  <c r="D29" i="9"/>
  <c r="D17" i="9"/>
  <c r="D30" i="9"/>
  <c r="D15" i="9"/>
  <c r="D22" i="9"/>
  <c r="D24" i="9"/>
  <c r="D25" i="9"/>
  <c r="D14" i="9"/>
  <c r="K42" i="9"/>
  <c r="H10" i="9"/>
  <c r="I4" i="17"/>
  <c r="D68" i="5"/>
  <c r="D18" i="22" s="1"/>
  <c r="B14" i="9"/>
  <c r="H11" i="9" l="1"/>
  <c r="F40" i="9"/>
  <c r="F37" i="9"/>
  <c r="B13" i="21"/>
  <c r="B13" i="20"/>
  <c r="B9" i="9"/>
  <c r="B10" i="9" s="1"/>
  <c r="F27" i="9" s="1"/>
  <c r="D76" i="5"/>
  <c r="I5" i="17"/>
  <c r="B33" i="9"/>
  <c r="B10" i="17"/>
  <c r="B11" i="17" s="1"/>
  <c r="D33" i="9"/>
  <c r="B6" i="21" l="1"/>
  <c r="M8" i="21" s="1"/>
  <c r="M11" i="21" s="1"/>
  <c r="M12" i="21" s="1"/>
  <c r="M17" i="21" s="1"/>
  <c r="I8" i="17"/>
  <c r="D34" i="22"/>
  <c r="J27" i="9"/>
  <c r="B31" i="17" s="1"/>
  <c r="E31" i="17" s="1"/>
  <c r="H6" i="9"/>
  <c r="B7" i="21" s="1"/>
  <c r="B11" i="21" s="1"/>
  <c r="B44" i="9"/>
  <c r="F26" i="9"/>
  <c r="J26" i="9" s="1"/>
  <c r="B28" i="20"/>
  <c r="B28" i="21"/>
  <c r="J40" i="9"/>
  <c r="B41" i="17" s="1"/>
  <c r="J37" i="9"/>
  <c r="F16" i="9"/>
  <c r="J16" i="9" s="1"/>
  <c r="K16" i="9" s="1"/>
  <c r="F20" i="9"/>
  <c r="J20" i="9" s="1"/>
  <c r="B24" i="17" s="1"/>
  <c r="E24" i="17" s="1"/>
  <c r="F19" i="9"/>
  <c r="J19" i="9" s="1"/>
  <c r="B23" i="17" s="1"/>
  <c r="E23" i="17" s="1"/>
  <c r="F28" i="9"/>
  <c r="J28" i="9" s="1"/>
  <c r="F29" i="9"/>
  <c r="J29" i="9" s="1"/>
  <c r="F23" i="9"/>
  <c r="J23" i="9" s="1"/>
  <c r="F21" i="9"/>
  <c r="J21" i="9" s="1"/>
  <c r="B25" i="17" s="1"/>
  <c r="E25" i="17" s="1"/>
  <c r="F18" i="9"/>
  <c r="J18" i="9" s="1"/>
  <c r="F17" i="9"/>
  <c r="F24" i="9"/>
  <c r="F14" i="9"/>
  <c r="F22" i="9"/>
  <c r="F15" i="9"/>
  <c r="F30" i="9"/>
  <c r="F25" i="9"/>
  <c r="B15" i="21" l="1"/>
  <c r="B20" i="21"/>
  <c r="B24" i="21"/>
  <c r="B25" i="21"/>
  <c r="B6" i="20"/>
  <c r="I10" i="17"/>
  <c r="B30" i="17"/>
  <c r="E30" i="17" s="1"/>
  <c r="K26" i="9"/>
  <c r="I41" i="17"/>
  <c r="J41" i="17" s="1"/>
  <c r="L41" i="17" s="1"/>
  <c r="L42" i="17" s="1"/>
  <c r="B39" i="17"/>
  <c r="B33" i="17"/>
  <c r="E33" i="17" s="1"/>
  <c r="F33" i="17" s="1"/>
  <c r="G33" i="17" s="1"/>
  <c r="H33" i="17" s="1"/>
  <c r="K29" i="9"/>
  <c r="B32" i="17"/>
  <c r="E32" i="17" s="1"/>
  <c r="F32" i="17" s="1"/>
  <c r="G32" i="17" s="1"/>
  <c r="H32" i="17" s="1"/>
  <c r="K28" i="9"/>
  <c r="F25" i="17"/>
  <c r="G25" i="17" s="1"/>
  <c r="H25" i="17" s="1"/>
  <c r="J22" i="9"/>
  <c r="J17" i="9"/>
  <c r="B21" i="17" s="1"/>
  <c r="E21" i="17" s="1"/>
  <c r="B20" i="17"/>
  <c r="E20" i="17" s="1"/>
  <c r="J30" i="9"/>
  <c r="J25" i="9"/>
  <c r="J15" i="9"/>
  <c r="B19" i="17" s="1"/>
  <c r="E19" i="17" s="1"/>
  <c r="J24" i="9"/>
  <c r="B22" i="17"/>
  <c r="E22" i="17" s="1"/>
  <c r="B27" i="17"/>
  <c r="E27" i="17" s="1"/>
  <c r="F33" i="9"/>
  <c r="B7" i="20" l="1"/>
  <c r="F31" i="17"/>
  <c r="F30" i="17"/>
  <c r="G30" i="17"/>
  <c r="H30" i="17" s="1"/>
  <c r="B22" i="21"/>
  <c r="J43" i="17"/>
  <c r="N43" i="17" s="1"/>
  <c r="I11" i="17"/>
  <c r="C10" i="17"/>
  <c r="C11" i="17" s="1"/>
  <c r="F23" i="17"/>
  <c r="G23" i="17" s="1"/>
  <c r="H23" i="17" s="1"/>
  <c r="F24" i="17"/>
  <c r="G24" i="17" s="1"/>
  <c r="H24" i="17" s="1"/>
  <c r="G31" i="17"/>
  <c r="H31" i="17" s="1"/>
  <c r="B11" i="20"/>
  <c r="M8" i="20"/>
  <c r="M11" i="20" s="1"/>
  <c r="M12" i="20" s="1"/>
  <c r="M17" i="20" s="1"/>
  <c r="B25" i="20"/>
  <c r="N41" i="17"/>
  <c r="I39" i="17"/>
  <c r="J39" i="17" s="1"/>
  <c r="B24" i="20" s="1"/>
  <c r="F27" i="17"/>
  <c r="G27" i="17" s="1"/>
  <c r="H27" i="17" s="1"/>
  <c r="K25" i="9"/>
  <c r="K22" i="9"/>
  <c r="K30" i="9"/>
  <c r="K24" i="9"/>
  <c r="K15" i="9"/>
  <c r="K17" i="9"/>
  <c r="B34" i="17"/>
  <c r="E34" i="17" s="1"/>
  <c r="F34" i="17" s="1"/>
  <c r="B29" i="17"/>
  <c r="E29" i="17" s="1"/>
  <c r="F29" i="17" s="1"/>
  <c r="G29" i="17" s="1"/>
  <c r="H29" i="17" s="1"/>
  <c r="B28" i="17"/>
  <c r="E28" i="17" s="1"/>
  <c r="F28" i="17" s="1"/>
  <c r="G28" i="17" s="1"/>
  <c r="H28" i="17" s="1"/>
  <c r="B26" i="17"/>
  <c r="E26" i="17" s="1"/>
  <c r="F26" i="17" s="1"/>
  <c r="G26" i="17" s="1"/>
  <c r="H26" i="17" s="1"/>
  <c r="F22" i="17"/>
  <c r="G22" i="17" s="1"/>
  <c r="H22" i="17" s="1"/>
  <c r="F20" i="17"/>
  <c r="G20" i="17" s="1"/>
  <c r="H20" i="17" s="1"/>
  <c r="F19" i="17"/>
  <c r="G19" i="17" s="1"/>
  <c r="H19" i="17" s="1"/>
  <c r="F21" i="17"/>
  <c r="G21" i="17" s="1"/>
  <c r="H21" i="17" s="1"/>
  <c r="G33" i="9"/>
  <c r="J14" i="9"/>
  <c r="J33" i="9" s="1"/>
  <c r="J44" i="9" l="1"/>
  <c r="D22" i="22"/>
  <c r="B15" i="20"/>
  <c r="B20" i="20"/>
  <c r="B22" i="20" s="1"/>
  <c r="G34" i="17"/>
  <c r="H34" i="17" s="1"/>
  <c r="K14" i="9"/>
  <c r="B14" i="21"/>
  <c r="B27" i="21" s="1"/>
  <c r="M19" i="21" s="1"/>
  <c r="K40" i="9"/>
  <c r="L40" i="9" s="1"/>
  <c r="N39" i="17"/>
  <c r="L39" i="17"/>
  <c r="L40" i="17" s="1"/>
  <c r="B18" i="17"/>
  <c r="B37" i="17" s="1"/>
  <c r="B45" i="17" s="1"/>
  <c r="J35" i="9"/>
  <c r="I35" i="9" s="1"/>
  <c r="D37" i="22" l="1"/>
  <c r="E37" i="22" s="1"/>
  <c r="E22" i="22"/>
  <c r="K44" i="9"/>
  <c r="E18" i="17"/>
  <c r="F18" i="17" s="1"/>
  <c r="E37" i="17" l="1"/>
  <c r="G18" i="17"/>
  <c r="F37" i="17"/>
  <c r="G37" i="17" l="1"/>
  <c r="I13" i="17" s="1"/>
  <c r="H18" i="17"/>
  <c r="H37" i="17" s="1"/>
  <c r="I30" i="17" l="1"/>
  <c r="M30" i="17" s="1"/>
  <c r="N30" i="17" s="1"/>
  <c r="I31" i="17"/>
  <c r="I21" i="17"/>
  <c r="I20" i="17"/>
  <c r="I18" i="17"/>
  <c r="I27" i="17"/>
  <c r="I22" i="17"/>
  <c r="I25" i="17"/>
  <c r="I32" i="17"/>
  <c r="I29" i="17"/>
  <c r="I26" i="17"/>
  <c r="I34" i="17"/>
  <c r="I23" i="17"/>
  <c r="I33" i="17"/>
  <c r="I24" i="17"/>
  <c r="I19" i="17"/>
  <c r="I28" i="17"/>
  <c r="J30" i="17" l="1"/>
  <c r="J31" i="17"/>
  <c r="M31" i="17"/>
  <c r="N31" i="17" s="1"/>
  <c r="J28" i="17"/>
  <c r="M28" i="17"/>
  <c r="N28" i="17" s="1"/>
  <c r="M32" i="17"/>
  <c r="N32" i="17" s="1"/>
  <c r="J32" i="17"/>
  <c r="M25" i="17"/>
  <c r="N25" i="17" s="1"/>
  <c r="J25" i="17"/>
  <c r="J22" i="17"/>
  <c r="M22" i="17"/>
  <c r="N22" i="17" s="1"/>
  <c r="M24" i="17"/>
  <c r="N24" i="17" s="1"/>
  <c r="J24" i="17"/>
  <c r="J33" i="17"/>
  <c r="M33" i="17"/>
  <c r="N33" i="17" s="1"/>
  <c r="J27" i="17"/>
  <c r="M27" i="17"/>
  <c r="N27" i="17" s="1"/>
  <c r="J29" i="17"/>
  <c r="M29" i="17"/>
  <c r="N29" i="17" s="1"/>
  <c r="M18" i="17"/>
  <c r="J18" i="17"/>
  <c r="I37" i="17"/>
  <c r="I45" i="17" s="1"/>
  <c r="M19" i="17"/>
  <c r="N19" i="17" s="1"/>
  <c r="J19" i="17"/>
  <c r="M34" i="17"/>
  <c r="N34" i="17" s="1"/>
  <c r="J34" i="17"/>
  <c r="J20" i="17"/>
  <c r="M20" i="17"/>
  <c r="N20" i="17" s="1"/>
  <c r="J23" i="17"/>
  <c r="M23" i="17"/>
  <c r="N23" i="17" s="1"/>
  <c r="M26" i="17"/>
  <c r="N26" i="17" s="1"/>
  <c r="J26" i="17"/>
  <c r="J21" i="17"/>
  <c r="M21" i="17"/>
  <c r="N21" i="17" s="1"/>
  <c r="M37" i="17" l="1"/>
  <c r="N18" i="17"/>
  <c r="N37" i="17" s="1"/>
  <c r="N45" i="17" s="1"/>
  <c r="J37" i="17"/>
  <c r="J45" i="17" s="1"/>
  <c r="I14" i="17"/>
  <c r="J14" i="17" s="1"/>
  <c r="B14" i="20" l="1"/>
  <c r="B27" i="20" l="1"/>
  <c r="M19" i="20" s="1"/>
</calcChain>
</file>

<file path=xl/sharedStrings.xml><?xml version="1.0" encoding="utf-8"?>
<sst xmlns="http://schemas.openxmlformats.org/spreadsheetml/2006/main" count="237" uniqueCount="182">
  <si>
    <t>Password:</t>
  </si>
  <si>
    <t>CTL02</t>
  </si>
  <si>
    <t>LEVY INPUT PAGE - ASSUMPTIONS</t>
  </si>
  <si>
    <t>Fill out County names as needed - leave other boxes blank</t>
  </si>
  <si>
    <t>Enter "x" in one box only</t>
  </si>
  <si>
    <t>Limiting Rate:</t>
  </si>
  <si>
    <t>Truth in Taxation</t>
  </si>
  <si>
    <t>(Prior Year Extension x (1+Lesser of 5% or CPI))</t>
  </si>
  <si>
    <t>Yes</t>
  </si>
  <si>
    <t>No</t>
  </si>
  <si>
    <t>x</t>
  </si>
  <si>
    <t>Follow these steps to view and set the macro security level in Excel 2010:</t>
  </si>
  <si>
    <r>
      <t>1.</t>
    </r>
    <r>
      <rPr>
        <b/>
        <sz val="12"/>
        <color indexed="63"/>
        <rFont val="Times New Roman"/>
        <family val="1"/>
      </rPr>
      <t xml:space="preserve">     </t>
    </r>
    <r>
      <rPr>
        <b/>
        <sz val="12"/>
        <color indexed="63"/>
        <rFont val="Arial"/>
        <family val="2"/>
      </rPr>
      <t>Click the File tab and then click Options.</t>
    </r>
  </si>
  <si>
    <r>
      <t>2.</t>
    </r>
    <r>
      <rPr>
        <sz val="12"/>
        <color indexed="63"/>
        <rFont val="Times New Roman"/>
        <family val="1"/>
      </rPr>
      <t xml:space="preserve">     </t>
    </r>
    <r>
      <rPr>
        <b/>
        <sz val="12"/>
        <color indexed="63"/>
        <rFont val="Arial"/>
        <family val="2"/>
      </rPr>
      <t>Click the Trust Center tab and then click the Trust Center Settings button.</t>
    </r>
  </si>
  <si>
    <t>The Trust Center dialog box appears with the Macro Settings tab selected.</t>
  </si>
  <si>
    <r>
      <t>Select a security level:</t>
    </r>
    <r>
      <rPr>
        <b/>
        <sz val="9"/>
        <color indexed="63"/>
        <rFont val="Arial"/>
        <family val="2"/>
      </rPr>
      <t xml:space="preserve"> Enable all macros</t>
    </r>
  </si>
  <si>
    <r>
      <t>3.</t>
    </r>
    <r>
      <rPr>
        <b/>
        <sz val="12"/>
        <color indexed="63"/>
        <rFont val="Times New Roman"/>
        <family val="1"/>
      </rPr>
      <t xml:space="preserve">     </t>
    </r>
    <r>
      <rPr>
        <b/>
        <sz val="12"/>
        <color indexed="63"/>
        <rFont val="Arial"/>
        <family val="2"/>
      </rPr>
      <t>Close the excel file, reopen the file.</t>
    </r>
  </si>
  <si>
    <t>Follow these steps to view and set the macro security level in Excel 2007:</t>
  </si>
  <si>
    <r>
      <t>2.</t>
    </r>
    <r>
      <rPr>
        <sz val="12"/>
        <color indexed="23"/>
        <rFont val="Times New Roman"/>
        <family val="1"/>
      </rPr>
      <t xml:space="preserve">         </t>
    </r>
    <r>
      <rPr>
        <sz val="12"/>
        <color indexed="23"/>
        <rFont val="Segoe UI"/>
        <family val="2"/>
      </rPr>
      <t xml:space="preserve">Click </t>
    </r>
    <r>
      <rPr>
        <b/>
        <sz val="12"/>
        <color indexed="23"/>
        <rFont val="Segoe UI"/>
        <family val="2"/>
      </rPr>
      <t>Trust Center</t>
    </r>
    <r>
      <rPr>
        <sz val="12"/>
        <color indexed="23"/>
        <rFont val="Segoe UI"/>
        <family val="2"/>
      </rPr>
      <t xml:space="preserve">, click </t>
    </r>
    <r>
      <rPr>
        <b/>
        <sz val="12"/>
        <color indexed="23"/>
        <rFont val="Segoe UI"/>
        <family val="2"/>
      </rPr>
      <t>Trust Center Settings</t>
    </r>
    <r>
      <rPr>
        <sz val="12"/>
        <color indexed="23"/>
        <rFont val="Segoe UI"/>
        <family val="2"/>
      </rPr>
      <t xml:space="preserve">, and then click </t>
    </r>
    <r>
      <rPr>
        <b/>
        <sz val="12"/>
        <color indexed="23"/>
        <rFont val="Segoe UI"/>
        <family val="2"/>
      </rPr>
      <t>Macro Settings</t>
    </r>
    <r>
      <rPr>
        <sz val="12"/>
        <color indexed="23"/>
        <rFont val="Segoe UI"/>
        <family val="2"/>
      </rPr>
      <t>.</t>
    </r>
  </si>
  <si>
    <r>
      <t>3.</t>
    </r>
    <r>
      <rPr>
        <sz val="12"/>
        <color indexed="23"/>
        <rFont val="Times New Roman"/>
        <family val="1"/>
      </rPr>
      <t xml:space="preserve">         </t>
    </r>
    <r>
      <rPr>
        <sz val="12"/>
        <color indexed="23"/>
        <rFont val="Segoe UI"/>
        <family val="2"/>
      </rPr>
      <t>Click the options that you want:</t>
    </r>
  </si>
  <si>
    <r>
      <t>·</t>
    </r>
    <r>
      <rPr>
        <sz val="12"/>
        <color indexed="23"/>
        <rFont val="Times New Roman"/>
        <family val="1"/>
      </rPr>
      <t xml:space="preserve">         </t>
    </r>
    <r>
      <rPr>
        <b/>
        <sz val="12"/>
        <color indexed="23"/>
        <rFont val="Segoe UI"/>
        <family val="2"/>
      </rPr>
      <t>Enable all macros (not recommended, potentially dangerous code can run)</t>
    </r>
  </si>
  <si>
    <r>
      <t>·</t>
    </r>
    <r>
      <rPr>
        <sz val="12"/>
        <color indexed="23"/>
        <rFont val="Times New Roman"/>
        <family val="1"/>
      </rPr>
      <t xml:space="preserve">         </t>
    </r>
    <r>
      <rPr>
        <sz val="12"/>
        <color indexed="23"/>
        <rFont val="Segoe UI"/>
        <family val="2"/>
      </rPr>
      <t>Disable all macros without notification</t>
    </r>
  </si>
  <si>
    <r>
      <t>·</t>
    </r>
    <r>
      <rPr>
        <sz val="12"/>
        <color indexed="23"/>
        <rFont val="Times New Roman"/>
        <family val="1"/>
      </rPr>
      <t xml:space="preserve">         </t>
    </r>
    <r>
      <rPr>
        <sz val="12"/>
        <color indexed="23"/>
        <rFont val="Segoe UI"/>
        <family val="2"/>
      </rPr>
      <t>Disable all macros with notification</t>
    </r>
  </si>
  <si>
    <r>
      <t>·</t>
    </r>
    <r>
      <rPr>
        <sz val="12"/>
        <color indexed="23"/>
        <rFont val="Times New Roman"/>
        <family val="1"/>
      </rPr>
      <t xml:space="preserve">         </t>
    </r>
    <r>
      <rPr>
        <sz val="12"/>
        <color indexed="23"/>
        <rFont val="Segoe UI"/>
        <family val="2"/>
      </rPr>
      <t>Disable all macros except digitally signed macros </t>
    </r>
  </si>
  <si>
    <r>
      <t>·</t>
    </r>
    <r>
      <rPr>
        <sz val="12"/>
        <color indexed="23"/>
        <rFont val="Times New Roman"/>
        <family val="1"/>
      </rPr>
      <t xml:space="preserve">         </t>
    </r>
    <r>
      <rPr>
        <sz val="12"/>
        <color indexed="23"/>
        <rFont val="Segoe UI"/>
        <family val="2"/>
      </rPr>
      <t>Trust access to the VBA project object model </t>
    </r>
  </si>
  <si>
    <r>
      <t>1.</t>
    </r>
    <r>
      <rPr>
        <sz val="12"/>
        <color indexed="23"/>
        <rFont val="Times New Roman"/>
        <family val="1"/>
      </rPr>
      <t xml:space="preserve">         </t>
    </r>
    <r>
      <rPr>
        <sz val="12"/>
        <color indexed="23"/>
        <rFont val="Segoe UI"/>
        <family val="2"/>
      </rPr>
      <t xml:space="preserve">Click the </t>
    </r>
    <r>
      <rPr>
        <b/>
        <sz val="12"/>
        <color indexed="23"/>
        <rFont val="Segoe UI"/>
        <family val="2"/>
      </rPr>
      <t>Microsoft Office Button           and then click Excel Options.</t>
    </r>
  </si>
  <si>
    <t xml:space="preserve">Please read the "Discalimer" worksheet.  Use of this workbook represents acceptance of the terms of the Disclaimer.  </t>
  </si>
  <si>
    <t>(Note:  This notice will not print with the rest of the page.)</t>
  </si>
  <si>
    <r>
      <t xml:space="preserve"> Include Abatements for Truth in Taxation </t>
    </r>
    <r>
      <rPr>
        <sz val="10"/>
        <rFont val="Times New Roman"/>
        <family val="1"/>
      </rPr>
      <t>(35 ILCS 200/18-70)</t>
    </r>
  </si>
  <si>
    <t>(Total EAV - New Property)</t>
  </si>
  <si>
    <t>District Assumptions &amp; Data Entry</t>
  </si>
  <si>
    <t>Calculated Values</t>
  </si>
  <si>
    <t>Legend</t>
  </si>
  <si>
    <t>Original Assumptions</t>
  </si>
  <si>
    <t xml:space="preserve"> Includes Loss % Added by County Clerk(s)</t>
  </si>
  <si>
    <t>Review Needed</t>
  </si>
  <si>
    <t xml:space="preserve"> Includes New Property</t>
  </si>
  <si>
    <t>Scenario Assumptions</t>
  </si>
  <si>
    <t xml:space="preserve">District Number </t>
  </si>
  <si>
    <t xml:space="preserve">District Name </t>
  </si>
  <si>
    <t xml:space="preserve">County 2 </t>
  </si>
  <si>
    <t xml:space="preserve">County 3 </t>
  </si>
  <si>
    <t xml:space="preserve">County 4 </t>
  </si>
  <si>
    <t xml:space="preserve">PTELL - Tax Capped </t>
  </si>
  <si>
    <t xml:space="preserve">Original Tax Levy Certificate </t>
  </si>
  <si>
    <t xml:space="preserve">Amended Tax Levy Certificate </t>
  </si>
  <si>
    <t xml:space="preserve">Consumer Price Index </t>
  </si>
  <si>
    <t xml:space="preserve">Total % Change From Prior Year </t>
  </si>
  <si>
    <t xml:space="preserve">No. of Tax Levied Bond Issues Outstanding </t>
  </si>
  <si>
    <t xml:space="preserve">Tax Levy Year </t>
  </si>
  <si>
    <t xml:space="preserve">Municipal Retirement </t>
  </si>
  <si>
    <t xml:space="preserve">Social Security </t>
  </si>
  <si>
    <t xml:space="preserve">Custom Fund Name </t>
  </si>
  <si>
    <t>Prior Year Extension</t>
  </si>
  <si>
    <t xml:space="preserve">Limiting Rate </t>
  </si>
  <si>
    <t xml:space="preserve">Estimated Capped Extension </t>
  </si>
  <si>
    <t xml:space="preserve">Estimated Bond and Interest Levy </t>
  </si>
  <si>
    <t xml:space="preserve">Total Levy </t>
  </si>
  <si>
    <t xml:space="preserve">Aggregate or County 1 </t>
  </si>
  <si>
    <t xml:space="preserve">Cook County Prior Year EAV Limit </t>
  </si>
  <si>
    <t xml:space="preserve"> Enter District Name</t>
  </si>
  <si>
    <t xml:space="preserve"> Enter District Number</t>
  </si>
  <si>
    <t xml:space="preserve"> Choose Yes or No</t>
  </si>
  <si>
    <t xml:space="preserve"> Enter Estimated New Property</t>
  </si>
  <si>
    <t xml:space="preserve"> Flow-through to Certificate of Tax Levy, Verify Records with County Clerk(s)</t>
  </si>
  <si>
    <t xml:space="preserve"> Enter What If...? Existing EAV Assumption or, Final Actual to Stress Test the Levy</t>
  </si>
  <si>
    <t xml:space="preserve"> Enter What If...? New Property Assumption or, Final Actual to Stress Test the Levy</t>
  </si>
  <si>
    <t xml:space="preserve">Capped Extension </t>
  </si>
  <si>
    <t xml:space="preserve">Reduction Factor </t>
  </si>
  <si>
    <t xml:space="preserve"> Does This Levy Capture All Available Property Taxes Under These Assumptions?</t>
  </si>
  <si>
    <t>County Loss %</t>
  </si>
  <si>
    <t>Final Tax Rate</t>
  </si>
  <si>
    <t>Spring Extension Adjustment Between Funds</t>
  </si>
  <si>
    <t>Final Adjusted Extension</t>
  </si>
  <si>
    <t>Final Adjusted Tax Rate</t>
  </si>
  <si>
    <t>(County Clerk Levies Bond &amp; Interest for the District, Verify Records with County Clerk)</t>
  </si>
  <si>
    <t>Total Levy with County Loss %</t>
  </si>
  <si>
    <t xml:space="preserve"> Enter County 2 Name to Itemize County Extension Below</t>
  </si>
  <si>
    <t xml:space="preserve"> Enter County 4 Name to Itemize County Extension Below</t>
  </si>
  <si>
    <t xml:space="preserve"> Enter County 3 Name to Itemize County Extension Below</t>
  </si>
  <si>
    <t xml:space="preserve"> Enter County 1 Name or Enter "Aggregate" to enter Aggregate Extension Below</t>
  </si>
  <si>
    <t xml:space="preserve">Input Statutory Maximum Tax Rate </t>
  </si>
  <si>
    <t>Statutory Maximum Tax Rate</t>
  </si>
  <si>
    <t>Truth in Taxation Required</t>
  </si>
  <si>
    <t>Does Levy Amount Exceed Estimated Maximum Extension?</t>
  </si>
  <si>
    <t>Scenario Calculated Tax Rate</t>
  </si>
  <si>
    <t xml:space="preserve">Bond &amp; Interest Extension </t>
  </si>
  <si>
    <t xml:space="preserve">Total Extension </t>
  </si>
  <si>
    <t>Actual Total Extension/Rate</t>
  </si>
  <si>
    <t xml:space="preserve">Bond &amp; Interest Levy </t>
  </si>
  <si>
    <t>Current Levy Amount</t>
  </si>
  <si>
    <t xml:space="preserve">Actual Bond &amp; Interest Extension/Rate </t>
  </si>
  <si>
    <t xml:space="preserve">Bond &amp; Int. Levy </t>
  </si>
  <si>
    <t>Original Estimate</t>
  </si>
  <si>
    <t>Scenario Actual</t>
  </si>
  <si>
    <t>Levy Increase %</t>
  </si>
  <si>
    <t xml:space="preserve">Final Levy Amount </t>
  </si>
  <si>
    <t xml:space="preserve">Please read the "Disclaimer" worksheet.  Use of this workbook represents acceptance of the terms of the Disclaimer.  </t>
  </si>
  <si>
    <t>Special Recreation</t>
  </si>
  <si>
    <t>Special Recreation Levy</t>
  </si>
  <si>
    <t>Target Rate for Special Recreation Levy</t>
  </si>
  <si>
    <t>Estimated Special Recreation Levy</t>
  </si>
  <si>
    <t>Lesser of 5% or Consumer Price Index</t>
  </si>
  <si>
    <t>Note, do not include the amount of PTAB revenue recapture added to the extension pursuant to Public Act 102-0519.</t>
  </si>
  <si>
    <r>
      <rPr>
        <b/>
        <u/>
        <sz val="9"/>
        <rFont val="Times New Roman"/>
        <family val="1"/>
      </rPr>
      <t>Critical Assumptions</t>
    </r>
    <r>
      <rPr>
        <b/>
        <sz val="9"/>
        <rFont val="Times New Roman"/>
        <family val="1"/>
      </rPr>
      <t xml:space="preserve"> - Formulas in this workbook are dependent on assumptions entered for PTELL &amp; Cook County questions</t>
    </r>
  </si>
  <si>
    <t>Cook</t>
  </si>
  <si>
    <t>Will</t>
  </si>
  <si>
    <t>DuPage</t>
  </si>
  <si>
    <t>Target Rate for Museum Levy</t>
  </si>
  <si>
    <t>Estimated Museum Levy</t>
  </si>
  <si>
    <t>Museum</t>
  </si>
  <si>
    <t>Lake</t>
  </si>
  <si>
    <t>Scenario Assumptions from Extension Tab</t>
  </si>
  <si>
    <t>Taxpayer Impact</t>
  </si>
  <si>
    <t>LY22</t>
  </si>
  <si>
    <t>Includes EAV % Change</t>
  </si>
  <si>
    <t>Total Assessed Value</t>
  </si>
  <si>
    <t>State Equalization Multiplier</t>
  </si>
  <si>
    <t>McHenry</t>
  </si>
  <si>
    <t>Kane</t>
  </si>
  <si>
    <t>Based on County 1 on the input tab</t>
  </si>
  <si>
    <t xml:space="preserve"> Includes Loss Cost</t>
  </si>
  <si>
    <t>Bond &amp; Interest Lost Cost (%)</t>
  </si>
  <si>
    <t>Net Equalized Assessed Value</t>
  </si>
  <si>
    <t>Bond &amp; Interest Abatement</t>
  </si>
  <si>
    <t xml:space="preserve">Enter debt service to be abated </t>
  </si>
  <si>
    <t>Bond &amp; Interest Rate Abatement</t>
  </si>
  <si>
    <t>Cannot exceed estimated B&amp;I Tax Rate</t>
  </si>
  <si>
    <t>Total Prior Year's Tax Rate</t>
  </si>
  <si>
    <t>Original Assumptions from Calculations Tab</t>
  </si>
  <si>
    <t>Note, if the B&amp;I levy on the "Calculations" tab was reduced by an expected abatement, it will need to be removed to prevent double counting the abatement.</t>
  </si>
  <si>
    <t>Estimated Special Recreation Rate</t>
  </si>
  <si>
    <t>Estimated Museum Rate</t>
  </si>
  <si>
    <t>Museum Levy</t>
  </si>
  <si>
    <t xml:space="preserve">Actual Special Recreation Extension/Rate </t>
  </si>
  <si>
    <t xml:space="preserve">Actual Museum Extension/Rate </t>
  </si>
  <si>
    <t>If the actual Bond &amp; Interest extension is known and input on the "Extension" tab in cell I41, no input is needed for the Loss Cost and Abatement cells.</t>
  </si>
  <si>
    <t xml:space="preserve">Corporate </t>
  </si>
  <si>
    <t xml:space="preserve">Working Cash Funds </t>
  </si>
  <si>
    <t xml:space="preserve">Police Protection </t>
  </si>
  <si>
    <t xml:space="preserve">Auditing </t>
  </si>
  <si>
    <t xml:space="preserve">Unemployment Insurance </t>
  </si>
  <si>
    <t xml:space="preserve">Workman's Compensation </t>
  </si>
  <si>
    <t xml:space="preserve">Recreation </t>
  </si>
  <si>
    <t xml:space="preserve">Paving/Lighting </t>
  </si>
  <si>
    <t xml:space="preserve">Liability Insurance </t>
  </si>
  <si>
    <t xml:space="preserve">Public Benefit </t>
  </si>
  <si>
    <t xml:space="preserve">Custom 2 </t>
  </si>
  <si>
    <t xml:space="preserve">Custom 1 </t>
  </si>
  <si>
    <t xml:space="preserve">Custom 3 </t>
  </si>
  <si>
    <t>Police and Safety</t>
  </si>
  <si>
    <t>Homestead Exemption</t>
  </si>
  <si>
    <t>If you have a question, please contact any member of our municipal advisory team listed below:</t>
  </si>
  <si>
    <t>Bob Lewis:</t>
  </si>
  <si>
    <t>Steve Adams:</t>
  </si>
  <si>
    <t>sadams@pmanetwork.com</t>
  </si>
  <si>
    <t>akim@pmanetwork.com</t>
  </si>
  <si>
    <t>Andrew Kim:</t>
  </si>
  <si>
    <t xml:space="preserve"> If entering a dollar amount for EAV, please select "Yes," if growth %, please select "No"</t>
  </si>
  <si>
    <t>Cook County</t>
  </si>
  <si>
    <t>Triennial Reassessment Cycle</t>
  </si>
  <si>
    <t>City of Chicago - 2024</t>
  </si>
  <si>
    <t>North Suburbs - 2025</t>
  </si>
  <si>
    <t>South &amp; West Suburbs - 2026</t>
  </si>
  <si>
    <t>It does not include the recapture levy or property taxes paid for other District purposes and to other governments. Actual tax rates and payments may vary based on District-wide EAV growth, individual homeowner reassessment, State Law changes, property tax rate initiatives and other factors.</t>
  </si>
  <si>
    <t>NOTICE OF PROPOSED PROPERTY TAX INCREASE FOR</t>
  </si>
  <si>
    <t>District Information</t>
  </si>
  <si>
    <t>I.</t>
  </si>
  <si>
    <t>District Name:</t>
  </si>
  <si>
    <t>Hearing Date:</t>
  </si>
  <si>
    <t>Hearing Time:</t>
  </si>
  <si>
    <t>Hearing Address:</t>
  </si>
  <si>
    <t>Hearing Municipality:</t>
  </si>
  <si>
    <t>Any person desiring to appear at the public hearing and present testimony to the taxing</t>
  </si>
  <si>
    <t>Hearing Zip Code:</t>
  </si>
  <si>
    <t>District contact name:</t>
  </si>
  <si>
    <t>District contact email address:</t>
  </si>
  <si>
    <t>II.</t>
  </si>
  <si>
    <t>III.</t>
  </si>
  <si>
    <t>IV.</t>
  </si>
  <si>
    <t>Public Safety and Security</t>
  </si>
  <si>
    <t>*Please use an apostrophe (') in front of the Hearing Time.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</si>
</sst>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7" formatCode="&quot;$&quot;#,##0.00_);\(&quot;$&quot;#,##0.00\)"/>
    <numFmt numFmtId="43" formatCode="_(* #,##0.00_);_(* \(#,##0.00\);_(* &quot;-&quot;??_);_(@_)"/>
    <numFmt numFmtId="164" formatCode="[$$-409]#,##0.00_);[Red]\([$$-409]#,##0.00\)"/>
    <numFmt numFmtId="165" formatCode="0.000%"/>
    <numFmt numFmtId="166" formatCode="[$$-409]#,##0.00_);\([$$-409]#,##0.00\)"/>
    <numFmt numFmtId="167" formatCode="[$$-409]#,##0_);[Red]\([$$-409]#,##0\)"/>
    <numFmt numFmtId="168" formatCode="0.0000%"/>
    <numFmt numFmtId="169" formatCode="0.0000"/>
    <numFmt numFmtId="170" formatCode="[$$-409]#,##0_);\([$$-409]#,##0\)"/>
    <numFmt numFmtId="171" formatCode="0.000"/>
    <numFmt numFmtId="172" formatCode="#,##0.000_);\(#,##0.000\)"/>
    <numFmt numFmtId="173" formatCode="[$$-409]#,##0.0000_);[Red]\([$$-409]#,##0.0000\)"/>
    <numFmt numFmtId="174" formatCode="0.0%"/>
    <numFmt numFmtId="175" formatCode="&quot;$&quot;#,##0"/>
    <numFmt numFmtId="176" formatCode="[$-F800]dddd\,\ mmmm\ dd\,\ yyyy"/>
    <numFmt numFmtId="177" formatCode="[$-F400]h:mm:ss\ AM/PM"/>
    <numFmt numFmtId="178" formatCode="_(&quot;$&quot;* #,##0_);_(&quot;$&quot;* \(#,##0\);_(&quot;$&quot;* &quot;-&quot;??_);_(@_)"/>
    <numFmt numFmtId="179" formatCode="&quot;. This represents a&quot;\ 0.00%\ &quot;increase over the previous year&quot;"/>
  </numFmts>
  <fonts count="55" x14ac:knownFonts="1">
    <font>
      <sz val="10"/>
      <name val="Arial"/>
    </font>
    <font>
      <sz val="10"/>
      <name val="Arial"/>
      <family val="2"/>
    </font>
    <font>
      <b/>
      <sz val="12"/>
      <name val="Arial"/>
      <family val="2"/>
    </font>
    <font>
      <sz val="8"/>
      <name val="Arial"/>
      <family val="2"/>
    </font>
    <font>
      <sz val="10"/>
      <name val="Times New Roman"/>
      <family val="1"/>
    </font>
    <font>
      <b/>
      <sz val="12"/>
      <name val="Times New Roman"/>
      <family val="1"/>
    </font>
    <font>
      <b/>
      <sz val="14"/>
      <name val="Times New Roman"/>
      <family val="1"/>
    </font>
    <font>
      <i/>
      <sz val="10"/>
      <name val="Times New Roman"/>
      <family val="1"/>
    </font>
    <font>
      <b/>
      <sz val="10"/>
      <color indexed="10"/>
      <name val="Times New Roman"/>
      <family val="1"/>
    </font>
    <font>
      <b/>
      <sz val="10"/>
      <name val="Times New Roman"/>
      <family val="1"/>
    </font>
    <font>
      <b/>
      <u/>
      <sz val="12"/>
      <name val="Times New Roman"/>
      <family val="1"/>
    </font>
    <font>
      <b/>
      <sz val="12"/>
      <color indexed="10"/>
      <name val="Times New Roman"/>
      <family val="1"/>
    </font>
    <font>
      <sz val="8"/>
      <name val="Times New Roman"/>
      <family val="1"/>
    </font>
    <font>
      <b/>
      <sz val="12"/>
      <color indexed="63"/>
      <name val="Arial"/>
      <family val="2"/>
    </font>
    <font>
      <b/>
      <sz val="12"/>
      <color indexed="63"/>
      <name val="Times New Roman"/>
      <family val="1"/>
    </font>
    <font>
      <sz val="12"/>
      <name val="Arial"/>
      <family val="2"/>
    </font>
    <font>
      <b/>
      <sz val="9"/>
      <color indexed="63"/>
      <name val="Arial"/>
      <family val="2"/>
    </font>
    <font>
      <sz val="11"/>
      <name val="Calibri"/>
      <family val="2"/>
    </font>
    <font>
      <sz val="12"/>
      <color indexed="63"/>
      <name val="Times New Roman"/>
      <family val="1"/>
    </font>
    <font>
      <sz val="12"/>
      <color indexed="23"/>
      <name val="Segoe UI"/>
      <family val="2"/>
    </font>
    <font>
      <sz val="12"/>
      <color indexed="23"/>
      <name val="Times New Roman"/>
      <family val="1"/>
    </font>
    <font>
      <b/>
      <sz val="12"/>
      <color indexed="23"/>
      <name val="Segoe UI"/>
      <family val="2"/>
    </font>
    <font>
      <sz val="14"/>
      <name val="Arial"/>
      <family val="2"/>
    </font>
    <font>
      <b/>
      <sz val="14"/>
      <name val="Arial"/>
      <family val="2"/>
    </font>
    <font>
      <b/>
      <sz val="12"/>
      <color rgb="FF333333"/>
      <name val="Arial"/>
      <family val="2"/>
    </font>
    <font>
      <sz val="9"/>
      <color rgb="FF333333"/>
      <name val="Arial"/>
      <family val="2"/>
    </font>
    <font>
      <b/>
      <sz val="9"/>
      <color rgb="FF333333"/>
      <name val="Arial"/>
      <family val="2"/>
    </font>
    <font>
      <sz val="12"/>
      <color rgb="FF333333"/>
      <name val="Arial"/>
      <family val="2"/>
    </font>
    <font>
      <sz val="7"/>
      <color rgb="FF454545"/>
      <name val="Segoe UI"/>
      <family val="2"/>
    </font>
    <font>
      <sz val="12"/>
      <color rgb="FF666666"/>
      <name val="Segoe UI"/>
      <family val="2"/>
    </font>
    <font>
      <sz val="12"/>
      <color rgb="FF666666"/>
      <name val="Symbol"/>
      <family val="1"/>
      <charset val="2"/>
    </font>
    <font>
      <b/>
      <sz val="14"/>
      <color rgb="FF333333"/>
      <name val="Arial"/>
      <family val="2"/>
    </font>
    <font>
      <b/>
      <sz val="12"/>
      <color theme="0"/>
      <name val="Times New Roman"/>
      <family val="1"/>
    </font>
    <font>
      <sz val="10"/>
      <color theme="0"/>
      <name val="Times New Roman"/>
      <family val="1"/>
    </font>
    <font>
      <i/>
      <sz val="9"/>
      <name val="Times New Roman"/>
      <family val="1"/>
    </font>
    <font>
      <b/>
      <u/>
      <sz val="10"/>
      <name val="Times New Roman"/>
      <family val="1"/>
    </font>
    <font>
      <b/>
      <sz val="10"/>
      <color theme="1"/>
      <name val="Times New Roman"/>
      <family val="1"/>
    </font>
    <font>
      <sz val="10"/>
      <color theme="1"/>
      <name val="Times New Roman"/>
      <family val="1"/>
    </font>
    <font>
      <b/>
      <sz val="9"/>
      <name val="Times New Roman"/>
      <family val="1"/>
    </font>
    <font>
      <b/>
      <u/>
      <sz val="9"/>
      <name val="Times New Roman"/>
      <family val="1"/>
    </font>
    <font>
      <sz val="10"/>
      <color theme="0" tint="-4.9989318521683403E-2"/>
      <name val="Times New Roman"/>
      <family val="1"/>
    </font>
    <font>
      <sz val="9"/>
      <name val="Times New Roman"/>
      <family val="1"/>
    </font>
    <font>
      <sz val="10"/>
      <color theme="1" tint="0.34998626667073579"/>
      <name val="Arial"/>
      <family val="2"/>
    </font>
    <font>
      <b/>
      <sz val="10"/>
      <color theme="0"/>
      <name val="Times New Roman"/>
      <family val="1"/>
    </font>
    <font>
      <i/>
      <sz val="10"/>
      <color theme="0"/>
      <name val="Times New Roman"/>
      <family val="1"/>
    </font>
    <font>
      <i/>
      <sz val="9"/>
      <color theme="0"/>
      <name val="Times New Roman"/>
      <family val="1"/>
    </font>
    <font>
      <sz val="8"/>
      <color theme="0"/>
      <name val="Times New Roman"/>
      <family val="1"/>
    </font>
    <font>
      <u/>
      <sz val="10"/>
      <color theme="10"/>
      <name val="Arial"/>
      <family val="2"/>
    </font>
    <font>
      <u/>
      <sz val="10"/>
      <color theme="0"/>
      <name val="Times New Roman"/>
      <family val="1"/>
    </font>
    <font>
      <sz val="12"/>
      <name val="Times New Roman"/>
      <family val="1"/>
    </font>
    <font>
      <u/>
      <sz val="11"/>
      <name val="Times New Roman"/>
      <family val="1"/>
    </font>
    <font>
      <sz val="11"/>
      <name val="Times New Roman"/>
      <family val="1"/>
    </font>
    <font>
      <sz val="12"/>
      <color theme="0"/>
      <name val="Times New Roman"/>
      <family val="1"/>
    </font>
    <font>
      <b/>
      <i/>
      <sz val="12"/>
      <name val="Times New Roman"/>
      <family val="1"/>
    </font>
    <font>
      <u/>
      <sz val="12"/>
      <color theme="10"/>
      <name val="Times New Roman"/>
      <family val="1"/>
    </font>
  </fonts>
  <fills count="11">
    <fill>
      <patternFill patternType="none"/>
    </fill>
    <fill>
      <patternFill patternType="gray125"/>
    </fill>
    <fill>
      <patternFill patternType="solid">
        <fgColor indexed="8"/>
        <bgColor indexed="64"/>
      </patternFill>
    </fill>
    <fill>
      <patternFill patternType="solid">
        <fgColor indexed="42"/>
        <bgColor indexed="64"/>
      </patternFill>
    </fill>
    <fill>
      <patternFill patternType="solid">
        <fgColor theme="0"/>
        <bgColor indexed="64"/>
      </patternFill>
    </fill>
    <fill>
      <patternFill patternType="solid">
        <fgColor rgb="FFCCFFCC"/>
        <bgColor indexed="64"/>
      </patternFill>
    </fill>
    <fill>
      <patternFill patternType="solid">
        <fgColor theme="1"/>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0" tint="-4.9989318521683403E-2"/>
        <bgColor indexed="64"/>
      </patternFill>
    </fill>
    <fill>
      <patternFill patternType="solid">
        <fgColor rgb="FFDCE6F1"/>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s>
  <cellStyleXfs count="5">
    <xf numFmtId="0" fontId="0" fillId="0" borderId="0"/>
    <xf numFmtId="43" fontId="1" fillId="0" borderId="0" applyFont="0" applyFill="0" applyBorder="0" applyAlignment="0" applyProtection="0"/>
    <xf numFmtId="9" fontId="1" fillId="0" borderId="0" applyFont="0" applyFill="0" applyBorder="0" applyAlignment="0" applyProtection="0"/>
    <xf numFmtId="0" fontId="1" fillId="0" borderId="0"/>
    <xf numFmtId="0" fontId="47" fillId="0" borderId="0" applyNumberFormat="0" applyFill="0" applyBorder="0" applyAlignment="0" applyProtection="0"/>
  </cellStyleXfs>
  <cellXfs count="306">
    <xf numFmtId="0" fontId="0" fillId="0" borderId="0" xfId="0"/>
    <xf numFmtId="0" fontId="4" fillId="0" borderId="0" xfId="0" applyFont="1" applyProtection="1">
      <protection hidden="1"/>
    </xf>
    <xf numFmtId="0" fontId="5" fillId="0" borderId="0" xfId="0" applyFont="1" applyAlignment="1" applyProtection="1">
      <alignment horizontal="right"/>
      <protection hidden="1"/>
    </xf>
    <xf numFmtId="164" fontId="4" fillId="0" borderId="0" xfId="0" applyNumberFormat="1" applyFont="1" applyProtection="1">
      <protection hidden="1"/>
    </xf>
    <xf numFmtId="164" fontId="5" fillId="0" borderId="0" xfId="0" applyNumberFormat="1" applyFont="1" applyProtection="1">
      <protection hidden="1"/>
    </xf>
    <xf numFmtId="0" fontId="5" fillId="0" borderId="0" xfId="0" applyFont="1" applyAlignment="1" applyProtection="1">
      <alignment horizontal="right" vertical="center"/>
      <protection hidden="1"/>
    </xf>
    <xf numFmtId="165" fontId="5" fillId="0" borderId="0" xfId="2" applyNumberFormat="1" applyFont="1" applyBorder="1" applyAlignment="1" applyProtection="1">
      <alignment horizontal="center"/>
      <protection hidden="1"/>
    </xf>
    <xf numFmtId="164" fontId="5" fillId="0" borderId="0" xfId="0" applyNumberFormat="1" applyFont="1" applyAlignment="1" applyProtection="1">
      <alignment horizontal="center"/>
      <protection hidden="1"/>
    </xf>
    <xf numFmtId="0" fontId="9" fillId="0" borderId="0" xfId="0" applyFont="1" applyAlignment="1" applyProtection="1">
      <alignment horizontal="center" wrapText="1"/>
      <protection hidden="1"/>
    </xf>
    <xf numFmtId="0" fontId="9" fillId="0" borderId="0" xfId="0" applyFont="1" applyAlignment="1" applyProtection="1">
      <alignment horizontal="center"/>
      <protection hidden="1"/>
    </xf>
    <xf numFmtId="164" fontId="4" fillId="0" borderId="2" xfId="0" applyNumberFormat="1" applyFont="1" applyBorder="1" applyProtection="1">
      <protection hidden="1"/>
    </xf>
    <xf numFmtId="0" fontId="0" fillId="0" borderId="0" xfId="0" applyProtection="1">
      <protection hidden="1"/>
    </xf>
    <xf numFmtId="0" fontId="4" fillId="0" borderId="0" xfId="0" applyFont="1" applyAlignment="1" applyProtection="1">
      <alignment horizontal="center"/>
      <protection hidden="1"/>
    </xf>
    <xf numFmtId="0" fontId="4" fillId="3" borderId="0" xfId="0" applyFont="1" applyFill="1" applyAlignment="1" applyProtection="1">
      <alignment horizontal="right"/>
      <protection hidden="1"/>
    </xf>
    <xf numFmtId="0" fontId="4" fillId="3" borderId="0" xfId="0" applyFont="1" applyFill="1" applyProtection="1">
      <protection hidden="1"/>
    </xf>
    <xf numFmtId="0" fontId="4" fillId="3" borderId="0" xfId="0" applyFont="1" applyFill="1" applyAlignment="1" applyProtection="1">
      <alignment horizontal="center"/>
      <protection hidden="1"/>
    </xf>
    <xf numFmtId="0" fontId="24" fillId="0" borderId="0" xfId="0" applyFont="1" applyAlignment="1">
      <alignment horizontal="left" vertical="center" indent="2"/>
    </xf>
    <xf numFmtId="0" fontId="15" fillId="0" borderId="0" xfId="0" applyFont="1"/>
    <xf numFmtId="0" fontId="25" fillId="0" borderId="0" xfId="0" applyFont="1" applyAlignment="1">
      <alignment horizontal="left" vertical="center" indent="2"/>
    </xf>
    <xf numFmtId="0" fontId="17" fillId="0" borderId="0" xfId="0" applyFont="1" applyAlignment="1">
      <alignment horizontal="left" vertical="center" indent="2"/>
    </xf>
    <xf numFmtId="0" fontId="17" fillId="0" borderId="0" xfId="0" applyFont="1" applyAlignment="1">
      <alignment vertical="center"/>
    </xf>
    <xf numFmtId="0" fontId="26" fillId="0" borderId="0" xfId="0" applyFont="1" applyAlignment="1">
      <alignment horizontal="left"/>
    </xf>
    <xf numFmtId="0" fontId="27" fillId="0" borderId="0" xfId="0" applyFont="1" applyAlignment="1">
      <alignment horizontal="left" vertical="center" indent="2"/>
    </xf>
    <xf numFmtId="0" fontId="2" fillId="0" borderId="0" xfId="0" applyFont="1"/>
    <xf numFmtId="0" fontId="28" fillId="0" borderId="0" xfId="0" applyFont="1" applyAlignment="1">
      <alignment vertical="center"/>
    </xf>
    <xf numFmtId="0" fontId="29" fillId="0" borderId="0" xfId="0" applyFont="1" applyAlignment="1">
      <alignment horizontal="left" vertical="center" indent="12"/>
    </xf>
    <xf numFmtId="0" fontId="15" fillId="0" borderId="0" xfId="0" applyFont="1" applyAlignment="1">
      <alignment horizontal="left" indent="13"/>
    </xf>
    <xf numFmtId="0" fontId="29" fillId="0" borderId="0" xfId="0" applyFont="1" applyAlignment="1">
      <alignment horizontal="left" vertical="center" indent="14"/>
    </xf>
    <xf numFmtId="0" fontId="24" fillId="0" borderId="0" xfId="0" applyFont="1" applyAlignment="1">
      <alignment horizontal="left" vertical="center" indent="13"/>
    </xf>
    <xf numFmtId="0" fontId="2" fillId="0" borderId="0" xfId="0" applyFont="1" applyAlignment="1">
      <alignment horizontal="left" indent="13"/>
    </xf>
    <xf numFmtId="0" fontId="15" fillId="0" borderId="0" xfId="0" applyFont="1" applyAlignment="1">
      <alignment horizontal="left" indent="25"/>
    </xf>
    <xf numFmtId="0" fontId="15" fillId="0" borderId="0" xfId="0" applyFont="1" applyAlignment="1">
      <alignment horizontal="left" indent="14"/>
    </xf>
    <xf numFmtId="0" fontId="15" fillId="0" borderId="0" xfId="0" applyFont="1" applyAlignment="1">
      <alignment horizontal="left" indent="12"/>
    </xf>
    <xf numFmtId="0" fontId="30" fillId="0" borderId="0" xfId="0" applyFont="1" applyAlignment="1">
      <alignment horizontal="left" vertical="center" indent="16"/>
    </xf>
    <xf numFmtId="0" fontId="15" fillId="0" borderId="0" xfId="0" applyFont="1" applyAlignment="1">
      <alignment horizontal="left" indent="21"/>
    </xf>
    <xf numFmtId="0" fontId="24" fillId="0" borderId="0" xfId="0" applyFont="1" applyAlignment="1">
      <alignment horizontal="left" vertical="center" indent="21"/>
    </xf>
    <xf numFmtId="0" fontId="22" fillId="0" borderId="0" xfId="0" applyFont="1"/>
    <xf numFmtId="0" fontId="31" fillId="0" borderId="0" xfId="0" applyFont="1" applyAlignment="1">
      <alignment horizontal="left" vertical="center"/>
    </xf>
    <xf numFmtId="0" fontId="23" fillId="0" borderId="0" xfId="0" applyFont="1" applyAlignment="1">
      <alignment horizontal="left"/>
    </xf>
    <xf numFmtId="0" fontId="22" fillId="0" borderId="0" xfId="0" applyFont="1" applyAlignment="1">
      <alignment horizontal="left"/>
    </xf>
    <xf numFmtId="0" fontId="31" fillId="0" borderId="0" xfId="0" applyFont="1" applyAlignment="1">
      <alignment vertical="center"/>
    </xf>
    <xf numFmtId="0" fontId="23" fillId="0" borderId="0" xfId="0" applyFont="1"/>
    <xf numFmtId="167" fontId="5" fillId="0" borderId="3" xfId="0" applyNumberFormat="1" applyFont="1" applyBorder="1" applyProtection="1">
      <protection hidden="1"/>
    </xf>
    <xf numFmtId="0" fontId="5" fillId="0" borderId="0" xfId="0" applyFont="1" applyAlignment="1" applyProtection="1">
      <alignment vertical="center"/>
      <protection hidden="1"/>
    </xf>
    <xf numFmtId="0" fontId="10" fillId="0" borderId="0" xfId="0" applyFont="1" applyProtection="1">
      <protection hidden="1"/>
    </xf>
    <xf numFmtId="0" fontId="5" fillId="0" borderId="0" xfId="0" applyFont="1" applyProtection="1">
      <protection hidden="1"/>
    </xf>
    <xf numFmtId="167" fontId="9" fillId="0" borderId="0" xfId="0" applyNumberFormat="1" applyFont="1" applyProtection="1">
      <protection hidden="1"/>
    </xf>
    <xf numFmtId="0" fontId="9" fillId="0" borderId="0" xfId="0" applyFont="1" applyAlignment="1" applyProtection="1">
      <alignment horizontal="right"/>
      <protection hidden="1"/>
    </xf>
    <xf numFmtId="0" fontId="4" fillId="0" borderId="0" xfId="0" applyFont="1" applyAlignment="1" applyProtection="1">
      <alignment horizontal="right"/>
      <protection hidden="1"/>
    </xf>
    <xf numFmtId="0" fontId="5" fillId="0" borderId="0" xfId="0" applyFont="1" applyAlignment="1" applyProtection="1">
      <alignment horizontal="center"/>
      <protection hidden="1"/>
    </xf>
    <xf numFmtId="0" fontId="7" fillId="0" borderId="0" xfId="0" applyFont="1" applyProtection="1">
      <protection hidden="1"/>
    </xf>
    <xf numFmtId="0" fontId="12" fillId="0" borderId="0" xfId="0" applyFont="1" applyProtection="1">
      <protection hidden="1"/>
    </xf>
    <xf numFmtId="0" fontId="34" fillId="0" borderId="0" xfId="0" applyFont="1" applyProtection="1">
      <protection hidden="1"/>
    </xf>
    <xf numFmtId="167" fontId="4" fillId="7" borderId="1" xfId="0" applyNumberFormat="1" applyFont="1" applyFill="1" applyBorder="1" applyProtection="1">
      <protection hidden="1"/>
    </xf>
    <xf numFmtId="167" fontId="4" fillId="5" borderId="10" xfId="0" applyNumberFormat="1" applyFont="1" applyFill="1" applyBorder="1" applyProtection="1">
      <protection locked="0"/>
    </xf>
    <xf numFmtId="167" fontId="4" fillId="5" borderId="1" xfId="0" applyNumberFormat="1" applyFont="1" applyFill="1" applyBorder="1" applyProtection="1">
      <protection locked="0"/>
    </xf>
    <xf numFmtId="168" fontId="5" fillId="7" borderId="1" xfId="2" applyNumberFormat="1" applyFont="1" applyFill="1" applyBorder="1" applyAlignment="1" applyProtection="1">
      <alignment horizontal="center"/>
      <protection hidden="1"/>
    </xf>
    <xf numFmtId="10" fontId="9" fillId="5" borderId="1" xfId="0" applyNumberFormat="1" applyFont="1" applyFill="1" applyBorder="1" applyAlignment="1" applyProtection="1">
      <alignment horizontal="center"/>
      <protection locked="0"/>
    </xf>
    <xf numFmtId="167" fontId="5" fillId="7" borderId="1" xfId="0" applyNumberFormat="1" applyFont="1" applyFill="1" applyBorder="1" applyAlignment="1" applyProtection="1">
      <alignment horizontal="center"/>
      <protection hidden="1"/>
    </xf>
    <xf numFmtId="164" fontId="4" fillId="7" borderId="1" xfId="0" applyNumberFormat="1" applyFont="1" applyFill="1" applyBorder="1" applyProtection="1">
      <protection hidden="1"/>
    </xf>
    <xf numFmtId="164" fontId="4" fillId="5" borderId="1" xfId="0" applyNumberFormat="1" applyFont="1" applyFill="1" applyBorder="1" applyProtection="1">
      <protection locked="0"/>
    </xf>
    <xf numFmtId="167" fontId="5" fillId="7" borderId="1" xfId="0" applyNumberFormat="1" applyFont="1" applyFill="1" applyBorder="1" applyProtection="1">
      <protection hidden="1"/>
    </xf>
    <xf numFmtId="164" fontId="5" fillId="7" borderId="1" xfId="0" applyNumberFormat="1" applyFont="1" applyFill="1" applyBorder="1" applyProtection="1">
      <protection hidden="1"/>
    </xf>
    <xf numFmtId="164" fontId="5" fillId="7" borderId="1" xfId="0" applyNumberFormat="1" applyFont="1" applyFill="1" applyBorder="1" applyAlignment="1" applyProtection="1">
      <alignment horizontal="center"/>
      <protection hidden="1"/>
    </xf>
    <xf numFmtId="10" fontId="4" fillId="5" borderId="1" xfId="2" applyNumberFormat="1" applyFont="1" applyFill="1" applyBorder="1" applyAlignment="1" applyProtection="1">
      <alignment horizontal="center"/>
      <protection locked="0"/>
    </xf>
    <xf numFmtId="0" fontId="4" fillId="5" borderId="1" xfId="0" applyFont="1" applyFill="1" applyBorder="1" applyAlignment="1" applyProtection="1">
      <alignment horizontal="center"/>
      <protection locked="0"/>
    </xf>
    <xf numFmtId="0" fontId="5" fillId="5" borderId="1" xfId="0" applyFont="1" applyFill="1" applyBorder="1" applyAlignment="1" applyProtection="1">
      <alignment horizontal="right"/>
      <protection locked="0"/>
    </xf>
    <xf numFmtId="43" fontId="12" fillId="5" borderId="1" xfId="1" applyFont="1" applyFill="1" applyBorder="1" applyAlignment="1" applyProtection="1">
      <alignment horizontal="center"/>
      <protection locked="0"/>
    </xf>
    <xf numFmtId="0" fontId="4" fillId="7" borderId="14" xfId="0" applyFont="1" applyFill="1" applyBorder="1" applyProtection="1">
      <protection hidden="1"/>
    </xf>
    <xf numFmtId="0" fontId="4" fillId="7" borderId="15" xfId="0" applyFont="1" applyFill="1" applyBorder="1" applyProtection="1">
      <protection hidden="1"/>
    </xf>
    <xf numFmtId="0" fontId="6" fillId="4" borderId="0" xfId="0" applyFont="1" applyFill="1" applyProtection="1">
      <protection hidden="1"/>
    </xf>
    <xf numFmtId="0" fontId="4" fillId="4" borderId="0" xfId="0" applyFont="1" applyFill="1" applyProtection="1">
      <protection hidden="1"/>
    </xf>
    <xf numFmtId="0" fontId="4" fillId="4" borderId="0" xfId="0" applyFont="1" applyFill="1" applyAlignment="1" applyProtection="1">
      <alignment horizontal="right"/>
      <protection hidden="1"/>
    </xf>
    <xf numFmtId="0" fontId="5" fillId="4" borderId="0" xfId="0" applyFont="1" applyFill="1" applyAlignment="1" applyProtection="1">
      <alignment horizontal="right"/>
      <protection hidden="1"/>
    </xf>
    <xf numFmtId="0" fontId="7" fillId="4" borderId="0" xfId="0" applyFont="1" applyFill="1" applyProtection="1">
      <protection hidden="1"/>
    </xf>
    <xf numFmtId="0" fontId="11" fillId="4" borderId="0" xfId="0" applyFont="1" applyFill="1" applyAlignment="1" applyProtection="1">
      <alignment horizontal="right"/>
      <protection hidden="1"/>
    </xf>
    <xf numFmtId="0" fontId="7" fillId="4" borderId="0" xfId="0" applyFont="1" applyFill="1" applyAlignment="1" applyProtection="1">
      <alignment horizontal="left"/>
      <protection hidden="1"/>
    </xf>
    <xf numFmtId="0" fontId="9" fillId="4" borderId="0" xfId="0" applyFont="1" applyFill="1" applyAlignment="1" applyProtection="1">
      <alignment horizontal="right"/>
      <protection hidden="1"/>
    </xf>
    <xf numFmtId="0" fontId="8" fillId="4" borderId="0" xfId="0" applyFont="1" applyFill="1" applyAlignment="1" applyProtection="1">
      <alignment horizontal="center"/>
      <protection hidden="1"/>
    </xf>
    <xf numFmtId="164" fontId="4" fillId="4" borderId="0" xfId="0" applyNumberFormat="1" applyFont="1" applyFill="1" applyProtection="1">
      <protection hidden="1"/>
    </xf>
    <xf numFmtId="164" fontId="5" fillId="4" borderId="0" xfId="0" applyNumberFormat="1" applyFont="1" applyFill="1" applyProtection="1">
      <protection hidden="1"/>
    </xf>
    <xf numFmtId="0" fontId="4" fillId="4" borderId="0" xfId="0" applyFont="1" applyFill="1" applyAlignment="1" applyProtection="1">
      <alignment horizontal="left"/>
      <protection hidden="1"/>
    </xf>
    <xf numFmtId="0" fontId="4" fillId="5" borderId="13" xfId="0" applyFont="1" applyFill="1" applyBorder="1" applyProtection="1">
      <protection hidden="1"/>
    </xf>
    <xf numFmtId="0" fontId="4" fillId="3" borderId="11" xfId="0" applyFont="1" applyFill="1" applyBorder="1" applyProtection="1">
      <protection hidden="1"/>
    </xf>
    <xf numFmtId="0" fontId="5" fillId="4" borderId="0" xfId="0" applyFont="1" applyFill="1" applyAlignment="1" applyProtection="1">
      <alignment horizontal="center"/>
      <protection hidden="1"/>
    </xf>
    <xf numFmtId="10" fontId="4" fillId="7" borderId="1" xfId="2" applyNumberFormat="1" applyFont="1" applyFill="1" applyBorder="1" applyProtection="1">
      <protection hidden="1"/>
    </xf>
    <xf numFmtId="10" fontId="4" fillId="5" borderId="10" xfId="2" applyNumberFormat="1" applyFont="1" applyFill="1" applyBorder="1" applyProtection="1">
      <protection locked="0"/>
    </xf>
    <xf numFmtId="10" fontId="9" fillId="7" borderId="9" xfId="2" applyNumberFormat="1" applyFont="1" applyFill="1" applyBorder="1" applyAlignment="1" applyProtection="1">
      <alignment horizontal="right"/>
      <protection hidden="1"/>
    </xf>
    <xf numFmtId="10" fontId="9" fillId="7" borderId="1" xfId="2" applyNumberFormat="1" applyFont="1" applyFill="1" applyBorder="1" applyAlignment="1" applyProtection="1">
      <alignment horizontal="right"/>
      <protection hidden="1"/>
    </xf>
    <xf numFmtId="10" fontId="4" fillId="7" borderId="1" xfId="0" applyNumberFormat="1" applyFont="1" applyFill="1" applyBorder="1" applyAlignment="1" applyProtection="1">
      <alignment horizontal="right"/>
      <protection hidden="1"/>
    </xf>
    <xf numFmtId="167" fontId="9" fillId="7" borderId="9" xfId="0" applyNumberFormat="1" applyFont="1" applyFill="1" applyBorder="1" applyProtection="1">
      <protection hidden="1"/>
    </xf>
    <xf numFmtId="0" fontId="4" fillId="8" borderId="16" xfId="0" applyFont="1" applyFill="1" applyBorder="1" applyProtection="1">
      <protection hidden="1"/>
    </xf>
    <xf numFmtId="0" fontId="4" fillId="8" borderId="18" xfId="0" applyFont="1" applyFill="1" applyBorder="1" applyProtection="1">
      <protection hidden="1"/>
    </xf>
    <xf numFmtId="169" fontId="5" fillId="7" borderId="1" xfId="2" applyNumberFormat="1" applyFont="1" applyFill="1" applyBorder="1" applyAlignment="1" applyProtection="1">
      <alignment horizontal="center"/>
      <protection hidden="1"/>
    </xf>
    <xf numFmtId="169" fontId="9" fillId="7" borderId="1" xfId="0" applyNumberFormat="1" applyFont="1" applyFill="1" applyBorder="1" applyAlignment="1" applyProtection="1">
      <alignment horizontal="center"/>
      <protection hidden="1"/>
    </xf>
    <xf numFmtId="169" fontId="5" fillId="7" borderId="1" xfId="0" applyNumberFormat="1" applyFont="1" applyFill="1" applyBorder="1" applyAlignment="1" applyProtection="1">
      <alignment horizontal="center"/>
      <protection hidden="1"/>
    </xf>
    <xf numFmtId="169" fontId="9" fillId="0" borderId="0" xfId="0" applyNumberFormat="1" applyFont="1" applyProtection="1">
      <protection hidden="1"/>
    </xf>
    <xf numFmtId="0" fontId="9" fillId="4" borderId="0" xfId="0" applyFont="1" applyFill="1" applyAlignment="1" applyProtection="1">
      <alignment horizontal="center" wrapText="1"/>
      <protection hidden="1"/>
    </xf>
    <xf numFmtId="0" fontId="4" fillId="7" borderId="0" xfId="0" applyFont="1" applyFill="1" applyAlignment="1" applyProtection="1">
      <alignment horizontal="center" vertical="center"/>
      <protection hidden="1"/>
    </xf>
    <xf numFmtId="0" fontId="4" fillId="8" borderId="17" xfId="0" applyFont="1" applyFill="1" applyBorder="1" applyAlignment="1" applyProtection="1">
      <alignment horizontal="center" vertical="center"/>
      <protection hidden="1"/>
    </xf>
    <xf numFmtId="0" fontId="4" fillId="5" borderId="12" xfId="0" applyFont="1" applyFill="1" applyBorder="1" applyAlignment="1" applyProtection="1">
      <alignment horizontal="center" vertical="center"/>
      <protection hidden="1"/>
    </xf>
    <xf numFmtId="0" fontId="5" fillId="5" borderId="1" xfId="0" applyFont="1" applyFill="1" applyBorder="1" applyAlignment="1" applyProtection="1">
      <alignment horizontal="center"/>
      <protection locked="0"/>
    </xf>
    <xf numFmtId="10" fontId="4" fillId="5" borderId="1" xfId="0" applyNumberFormat="1" applyFont="1" applyFill="1" applyBorder="1" applyAlignment="1" applyProtection="1">
      <alignment horizontal="right"/>
      <protection locked="0"/>
    </xf>
    <xf numFmtId="0" fontId="33" fillId="4" borderId="0" xfId="0" applyFont="1" applyFill="1" applyAlignment="1" applyProtection="1">
      <alignment horizontal="right"/>
      <protection hidden="1"/>
    </xf>
    <xf numFmtId="0" fontId="5" fillId="0" borderId="11" xfId="0" applyFont="1" applyBorder="1" applyAlignment="1" applyProtection="1">
      <alignment horizontal="right"/>
      <protection hidden="1"/>
    </xf>
    <xf numFmtId="0" fontId="5" fillId="0" borderId="12" xfId="0" applyFont="1" applyBorder="1" applyAlignment="1" applyProtection="1">
      <alignment horizontal="right"/>
      <protection hidden="1"/>
    </xf>
    <xf numFmtId="0" fontId="4" fillId="0" borderId="12" xfId="0" applyFont="1" applyBorder="1" applyProtection="1">
      <protection hidden="1"/>
    </xf>
    <xf numFmtId="0" fontId="4" fillId="0" borderId="13" xfId="0" applyFont="1" applyBorder="1" applyProtection="1">
      <protection hidden="1"/>
    </xf>
    <xf numFmtId="0" fontId="5" fillId="4" borderId="14" xfId="0" applyFont="1" applyFill="1" applyBorder="1" applyAlignment="1" applyProtection="1">
      <alignment horizontal="right"/>
      <protection hidden="1"/>
    </xf>
    <xf numFmtId="0" fontId="4" fillId="0" borderId="15" xfId="0" applyFont="1" applyBorder="1" applyProtection="1">
      <protection hidden="1"/>
    </xf>
    <xf numFmtId="0" fontId="4" fillId="0" borderId="14" xfId="0" applyFont="1" applyBorder="1" applyProtection="1">
      <protection hidden="1"/>
    </xf>
    <xf numFmtId="0" fontId="35" fillId="0" borderId="0" xfId="0" applyFont="1" applyProtection="1">
      <protection hidden="1"/>
    </xf>
    <xf numFmtId="0" fontId="4" fillId="0" borderId="16" xfId="0" applyFont="1" applyBorder="1" applyProtection="1">
      <protection hidden="1"/>
    </xf>
    <xf numFmtId="0" fontId="4" fillId="0" borderId="17" xfId="0" applyFont="1" applyBorder="1" applyProtection="1">
      <protection hidden="1"/>
    </xf>
    <xf numFmtId="0" fontId="0" fillId="0" borderId="17" xfId="0" applyBorder="1" applyProtection="1">
      <protection hidden="1"/>
    </xf>
    <xf numFmtId="0" fontId="4" fillId="0" borderId="18" xfId="0" applyFont="1" applyBorder="1" applyProtection="1">
      <protection hidden="1"/>
    </xf>
    <xf numFmtId="10" fontId="9" fillId="4" borderId="6" xfId="2" applyNumberFormat="1" applyFont="1" applyFill="1" applyBorder="1" applyAlignment="1" applyProtection="1">
      <alignment horizontal="right"/>
      <protection hidden="1"/>
    </xf>
    <xf numFmtId="164" fontId="35" fillId="0" borderId="19" xfId="0" applyNumberFormat="1" applyFont="1" applyBorder="1" applyAlignment="1" applyProtection="1">
      <alignment horizontal="center" vertical="center"/>
      <protection hidden="1"/>
    </xf>
    <xf numFmtId="0" fontId="35" fillId="0" borderId="0" xfId="0" applyFont="1" applyAlignment="1" applyProtection="1">
      <alignment horizontal="center"/>
      <protection hidden="1"/>
    </xf>
    <xf numFmtId="0" fontId="9" fillId="7" borderId="5" xfId="0" applyFont="1" applyFill="1" applyBorder="1" applyAlignment="1" applyProtection="1">
      <alignment horizontal="center"/>
      <protection hidden="1"/>
    </xf>
    <xf numFmtId="0" fontId="34" fillId="0" borderId="0" xfId="0" applyFont="1" applyAlignment="1" applyProtection="1">
      <alignment horizontal="right" vertical="top"/>
      <protection hidden="1"/>
    </xf>
    <xf numFmtId="0" fontId="9" fillId="0" borderId="0" xfId="0" applyFont="1" applyAlignment="1" applyProtection="1">
      <alignment horizontal="left"/>
      <protection hidden="1"/>
    </xf>
    <xf numFmtId="164" fontId="5" fillId="0" borderId="2" xfId="0" applyNumberFormat="1" applyFont="1" applyBorder="1" applyProtection="1">
      <protection hidden="1"/>
    </xf>
    <xf numFmtId="0" fontId="36" fillId="5" borderId="0" xfId="0" applyFont="1" applyFill="1" applyAlignment="1" applyProtection="1">
      <alignment horizontal="left"/>
      <protection hidden="1"/>
    </xf>
    <xf numFmtId="0" fontId="37" fillId="5" borderId="0" xfId="0" applyFont="1" applyFill="1" applyProtection="1">
      <protection hidden="1"/>
    </xf>
    <xf numFmtId="0" fontId="37" fillId="5" borderId="15" xfId="0" applyFont="1" applyFill="1" applyBorder="1" applyProtection="1">
      <protection hidden="1"/>
    </xf>
    <xf numFmtId="7" fontId="9" fillId="8" borderId="0" xfId="0" applyNumberFormat="1" applyFont="1" applyFill="1" applyProtection="1">
      <protection hidden="1"/>
    </xf>
    <xf numFmtId="170" fontId="9" fillId="0" borderId="0" xfId="0" applyNumberFormat="1" applyFont="1" applyAlignment="1" applyProtection="1">
      <alignment horizontal="center"/>
      <protection hidden="1"/>
    </xf>
    <xf numFmtId="171" fontId="5" fillId="5" borderId="1" xfId="0" applyNumberFormat="1" applyFont="1" applyFill="1" applyBorder="1" applyAlignment="1" applyProtection="1">
      <alignment horizontal="center"/>
      <protection locked="0"/>
    </xf>
    <xf numFmtId="171" fontId="5" fillId="6" borderId="1" xfId="0" applyNumberFormat="1" applyFont="1" applyFill="1" applyBorder="1" applyAlignment="1" applyProtection="1">
      <alignment horizontal="center"/>
      <protection hidden="1"/>
    </xf>
    <xf numFmtId="164" fontId="9" fillId="7" borderId="1" xfId="0" applyNumberFormat="1" applyFont="1" applyFill="1" applyBorder="1" applyProtection="1">
      <protection hidden="1"/>
    </xf>
    <xf numFmtId="0" fontId="4" fillId="0" borderId="0" xfId="0" applyFont="1" applyAlignment="1" applyProtection="1">
      <alignment horizontal="center" wrapText="1"/>
      <protection hidden="1"/>
    </xf>
    <xf numFmtId="164" fontId="5" fillId="0" borderId="6" xfId="0" applyNumberFormat="1" applyFont="1" applyBorder="1" applyProtection="1">
      <protection hidden="1"/>
    </xf>
    <xf numFmtId="0" fontId="4" fillId="0" borderId="0" xfId="3" applyFont="1"/>
    <xf numFmtId="0" fontId="4" fillId="4" borderId="0" xfId="3" applyFont="1" applyFill="1" applyProtection="1">
      <protection hidden="1"/>
    </xf>
    <xf numFmtId="0" fontId="5" fillId="4" borderId="0" xfId="3" applyFont="1" applyFill="1" applyAlignment="1" applyProtection="1">
      <alignment horizontal="center"/>
      <protection hidden="1"/>
    </xf>
    <xf numFmtId="0" fontId="4" fillId="9" borderId="0" xfId="3" applyFont="1" applyFill="1"/>
    <xf numFmtId="0" fontId="4" fillId="3" borderId="11" xfId="3" applyFont="1" applyFill="1" applyBorder="1" applyProtection="1">
      <protection hidden="1"/>
    </xf>
    <xf numFmtId="0" fontId="4" fillId="5" borderId="12" xfId="3" applyFont="1" applyFill="1" applyBorder="1" applyAlignment="1" applyProtection="1">
      <alignment horizontal="center" vertical="center"/>
      <protection hidden="1"/>
    </xf>
    <xf numFmtId="0" fontId="4" fillId="5" borderId="13" xfId="3" applyFont="1" applyFill="1" applyBorder="1" applyProtection="1">
      <protection hidden="1"/>
    </xf>
    <xf numFmtId="0" fontId="4" fillId="7" borderId="14" xfId="3" applyFont="1" applyFill="1" applyBorder="1" applyProtection="1">
      <protection hidden="1"/>
    </xf>
    <xf numFmtId="0" fontId="4" fillId="7" borderId="0" xfId="3" applyFont="1" applyFill="1" applyAlignment="1" applyProtection="1">
      <alignment horizontal="center" vertical="center"/>
      <protection hidden="1"/>
    </xf>
    <xf numFmtId="0" fontId="4" fillId="7" borderId="15" xfId="3" applyFont="1" applyFill="1" applyBorder="1" applyProtection="1">
      <protection hidden="1"/>
    </xf>
    <xf numFmtId="0" fontId="5" fillId="0" borderId="0" xfId="3" applyFont="1" applyAlignment="1" applyProtection="1">
      <alignment horizontal="right"/>
      <protection hidden="1"/>
    </xf>
    <xf numFmtId="0" fontId="4" fillId="8" borderId="16" xfId="3" applyFont="1" applyFill="1" applyBorder="1" applyProtection="1">
      <protection hidden="1"/>
    </xf>
    <xf numFmtId="0" fontId="4" fillId="8" borderId="17" xfId="3" applyFont="1" applyFill="1" applyBorder="1" applyAlignment="1" applyProtection="1">
      <alignment horizontal="center" vertical="center"/>
      <protection hidden="1"/>
    </xf>
    <xf numFmtId="0" fontId="4" fillId="8" borderId="18" xfId="3" applyFont="1" applyFill="1" applyBorder="1" applyProtection="1">
      <protection hidden="1"/>
    </xf>
    <xf numFmtId="0" fontId="5" fillId="0" borderId="0" xfId="3" applyFont="1" applyAlignment="1" applyProtection="1">
      <alignment horizontal="center"/>
      <protection hidden="1"/>
    </xf>
    <xf numFmtId="10" fontId="9" fillId="7" borderId="1" xfId="3" applyNumberFormat="1" applyFont="1" applyFill="1" applyBorder="1" applyAlignment="1" applyProtection="1">
      <alignment horizontal="right"/>
      <protection hidden="1"/>
    </xf>
    <xf numFmtId="0" fontId="5" fillId="0" borderId="0" xfId="3" applyFont="1" applyAlignment="1" applyProtection="1">
      <alignment horizontal="right" vertical="center"/>
      <protection hidden="1"/>
    </xf>
    <xf numFmtId="167" fontId="9" fillId="5" borderId="1" xfId="3" applyNumberFormat="1" applyFont="1" applyFill="1" applyBorder="1" applyProtection="1">
      <protection locked="0"/>
    </xf>
    <xf numFmtId="0" fontId="4" fillId="9" borderId="0" xfId="3" applyFont="1" applyFill="1" applyProtection="1">
      <protection hidden="1"/>
    </xf>
    <xf numFmtId="0" fontId="40" fillId="9" borderId="0" xfId="3" applyFont="1" applyFill="1"/>
    <xf numFmtId="167" fontId="9" fillId="7" borderId="1" xfId="3" applyNumberFormat="1" applyFont="1" applyFill="1" applyBorder="1" applyProtection="1">
      <protection hidden="1"/>
    </xf>
    <xf numFmtId="0" fontId="4" fillId="0" borderId="0" xfId="3" applyFont="1" applyAlignment="1" applyProtection="1">
      <alignment horizontal="right"/>
      <protection hidden="1"/>
    </xf>
    <xf numFmtId="0" fontId="9" fillId="0" borderId="0" xfId="3" applyFont="1" applyProtection="1">
      <protection hidden="1"/>
    </xf>
    <xf numFmtId="0" fontId="4" fillId="0" borderId="0" xfId="3" applyFont="1" applyProtection="1">
      <protection hidden="1"/>
    </xf>
    <xf numFmtId="0" fontId="7" fillId="0" borderId="0" xfId="3" applyFont="1" applyProtection="1">
      <protection hidden="1"/>
    </xf>
    <xf numFmtId="9" fontId="40" fillId="9" borderId="0" xfId="2" applyFont="1" applyFill="1"/>
    <xf numFmtId="174" fontId="4" fillId="7" borderId="1" xfId="2" applyNumberFormat="1" applyFont="1" applyFill="1" applyBorder="1" applyProtection="1">
      <protection hidden="1"/>
    </xf>
    <xf numFmtId="169" fontId="4" fillId="7" borderId="1" xfId="3" applyNumberFormat="1" applyFont="1" applyFill="1" applyBorder="1" applyProtection="1">
      <protection hidden="1"/>
    </xf>
    <xf numFmtId="173" fontId="9" fillId="7" borderId="1" xfId="3" applyNumberFormat="1" applyFont="1" applyFill="1" applyBorder="1" applyProtection="1">
      <protection hidden="1"/>
    </xf>
    <xf numFmtId="164" fontId="9" fillId="7" borderId="1" xfId="3" applyNumberFormat="1" applyFont="1" applyFill="1" applyBorder="1" applyProtection="1">
      <protection hidden="1"/>
    </xf>
    <xf numFmtId="0" fontId="4" fillId="9" borderId="0" xfId="3" applyFont="1" applyFill="1" applyAlignment="1">
      <alignment wrapText="1"/>
    </xf>
    <xf numFmtId="0" fontId="7" fillId="0" borderId="0" xfId="3" applyFont="1" applyAlignment="1" applyProtection="1">
      <alignment vertical="top" wrapText="1"/>
      <protection hidden="1"/>
    </xf>
    <xf numFmtId="10" fontId="9" fillId="5" borderId="1" xfId="2" applyNumberFormat="1" applyFont="1" applyFill="1" applyBorder="1" applyProtection="1">
      <protection locked="0"/>
    </xf>
    <xf numFmtId="2" fontId="4" fillId="0" borderId="0" xfId="3" applyNumberFormat="1" applyFont="1" applyProtection="1">
      <protection hidden="1"/>
    </xf>
    <xf numFmtId="164" fontId="4" fillId="0" borderId="0" xfId="3" applyNumberFormat="1" applyFont="1" applyProtection="1">
      <protection hidden="1"/>
    </xf>
    <xf numFmtId="167" fontId="9" fillId="8" borderId="1" xfId="3" applyNumberFormat="1" applyFont="1" applyFill="1" applyBorder="1" applyProtection="1">
      <protection locked="0"/>
    </xf>
    <xf numFmtId="0" fontId="7" fillId="4" borderId="0" xfId="3" applyFont="1" applyFill="1" applyProtection="1">
      <protection hidden="1"/>
    </xf>
    <xf numFmtId="0" fontId="42" fillId="0" borderId="0" xfId="3" applyFont="1" applyAlignment="1" applyProtection="1">
      <alignment vertical="top"/>
      <protection hidden="1"/>
    </xf>
    <xf numFmtId="0" fontId="42" fillId="0" borderId="0" xfId="3" applyFont="1" applyAlignment="1" applyProtection="1">
      <alignment vertical="top" wrapText="1"/>
      <protection hidden="1"/>
    </xf>
    <xf numFmtId="0" fontId="34" fillId="0" borderId="0" xfId="3" applyFont="1" applyAlignment="1" applyProtection="1">
      <alignment horizontal="right" vertical="top"/>
      <protection hidden="1"/>
    </xf>
    <xf numFmtId="0" fontId="42" fillId="0" borderId="0" xfId="3" applyFont="1" applyAlignment="1" applyProtection="1">
      <alignment wrapText="1"/>
      <protection hidden="1"/>
    </xf>
    <xf numFmtId="0" fontId="42" fillId="0" borderId="0" xfId="3" applyFont="1" applyProtection="1">
      <protection hidden="1"/>
    </xf>
    <xf numFmtId="9" fontId="4" fillId="9" borderId="0" xfId="2" applyFont="1" applyFill="1"/>
    <xf numFmtId="10" fontId="4" fillId="5" borderId="1" xfId="2" applyNumberFormat="1" applyFont="1" applyFill="1" applyBorder="1" applyProtection="1">
      <protection locked="0"/>
    </xf>
    <xf numFmtId="172" fontId="5" fillId="10" borderId="1" xfId="0" applyNumberFormat="1" applyFont="1" applyFill="1" applyBorder="1" applyAlignment="1" applyProtection="1">
      <alignment horizontal="center"/>
      <protection hidden="1"/>
    </xf>
    <xf numFmtId="172" fontId="5" fillId="5" borderId="1" xfId="0" applyNumberFormat="1" applyFont="1" applyFill="1" applyBorder="1" applyAlignment="1" applyProtection="1">
      <alignment horizontal="center"/>
      <protection hidden="1"/>
    </xf>
    <xf numFmtId="43" fontId="4" fillId="5" borderId="1" xfId="1" applyFont="1" applyFill="1" applyBorder="1" applyAlignment="1" applyProtection="1">
      <alignment horizontal="center"/>
      <protection locked="0"/>
    </xf>
    <xf numFmtId="10" fontId="4" fillId="7" borderId="5" xfId="2" applyNumberFormat="1" applyFont="1" applyFill="1" applyBorder="1" applyAlignment="1" applyProtection="1">
      <alignment horizontal="center"/>
      <protection hidden="1"/>
    </xf>
    <xf numFmtId="166" fontId="9" fillId="7" borderId="5" xfId="0" applyNumberFormat="1" applyFont="1" applyFill="1" applyBorder="1" applyAlignment="1" applyProtection="1">
      <alignment horizontal="right"/>
      <protection hidden="1"/>
    </xf>
    <xf numFmtId="166" fontId="9" fillId="0" borderId="0" xfId="0" applyNumberFormat="1" applyFont="1" applyAlignment="1" applyProtection="1">
      <alignment horizontal="right"/>
      <protection hidden="1"/>
    </xf>
    <xf numFmtId="164" fontId="32" fillId="0" borderId="0" xfId="0" applyNumberFormat="1" applyFont="1" applyProtection="1">
      <protection hidden="1"/>
    </xf>
    <xf numFmtId="164" fontId="4" fillId="7" borderId="9" xfId="0" applyNumberFormat="1" applyFont="1" applyFill="1" applyBorder="1" applyProtection="1">
      <protection hidden="1"/>
    </xf>
    <xf numFmtId="171" fontId="5" fillId="7" borderId="1" xfId="0" applyNumberFormat="1" applyFont="1" applyFill="1" applyBorder="1" applyAlignment="1" applyProtection="1">
      <alignment horizontal="center"/>
      <protection hidden="1"/>
    </xf>
    <xf numFmtId="164" fontId="4" fillId="2" borderId="1" xfId="0" applyNumberFormat="1" applyFont="1" applyFill="1" applyBorder="1" applyAlignment="1" applyProtection="1">
      <alignment horizontal="right"/>
      <protection hidden="1"/>
    </xf>
    <xf numFmtId="43" fontId="4" fillId="5" borderId="1" xfId="1" applyFont="1" applyFill="1" applyBorder="1" applyAlignment="1" applyProtection="1">
      <alignment horizontal="center"/>
      <protection hidden="1"/>
    </xf>
    <xf numFmtId="43" fontId="12" fillId="5" borderId="1" xfId="1" applyFont="1" applyFill="1" applyBorder="1" applyAlignment="1" applyProtection="1">
      <alignment horizontal="center"/>
      <protection hidden="1"/>
    </xf>
    <xf numFmtId="0" fontId="43" fillId="0" borderId="0" xfId="0" applyFont="1" applyAlignment="1" applyProtection="1">
      <alignment horizontal="left"/>
      <protection hidden="1"/>
    </xf>
    <xf numFmtId="164" fontId="4" fillId="0" borderId="6" xfId="0" applyNumberFormat="1" applyFont="1" applyBorder="1" applyProtection="1">
      <protection hidden="1"/>
    </xf>
    <xf numFmtId="0" fontId="32" fillId="0" borderId="0" xfId="0" applyFont="1" applyAlignment="1" applyProtection="1">
      <alignment horizontal="right"/>
      <protection hidden="1"/>
    </xf>
    <xf numFmtId="0" fontId="33" fillId="0" borderId="0" xfId="0" applyFont="1" applyProtection="1">
      <protection hidden="1"/>
    </xf>
    <xf numFmtId="0" fontId="44" fillId="0" borderId="0" xfId="0" applyFont="1" applyProtection="1">
      <protection hidden="1"/>
    </xf>
    <xf numFmtId="10" fontId="33" fillId="0" borderId="0" xfId="2" applyNumberFormat="1" applyFont="1" applyFill="1" applyBorder="1" applyProtection="1">
      <protection hidden="1"/>
    </xf>
    <xf numFmtId="0" fontId="45" fillId="0" borderId="0" xfId="0" applyFont="1" applyProtection="1">
      <protection hidden="1"/>
    </xf>
    <xf numFmtId="164" fontId="33" fillId="0" borderId="0" xfId="0" applyNumberFormat="1" applyFont="1" applyProtection="1">
      <protection hidden="1"/>
    </xf>
    <xf numFmtId="166" fontId="43" fillId="0" borderId="0" xfId="0" applyNumberFormat="1" applyFont="1" applyAlignment="1" applyProtection="1">
      <alignment horizontal="right"/>
      <protection hidden="1"/>
    </xf>
    <xf numFmtId="0" fontId="32" fillId="0" borderId="0" xfId="3" applyFont="1" applyAlignment="1" applyProtection="1">
      <alignment horizontal="right"/>
      <protection hidden="1"/>
    </xf>
    <xf numFmtId="167" fontId="33" fillId="0" borderId="0" xfId="0" applyNumberFormat="1" applyFont="1" applyProtection="1">
      <protection hidden="1"/>
    </xf>
    <xf numFmtId="169" fontId="32" fillId="0" borderId="0" xfId="0" applyNumberFormat="1" applyFont="1" applyAlignment="1" applyProtection="1">
      <alignment horizontal="center"/>
      <protection hidden="1"/>
    </xf>
    <xf numFmtId="0" fontId="46" fillId="0" borderId="0" xfId="0" applyFont="1" applyProtection="1">
      <protection hidden="1"/>
    </xf>
    <xf numFmtId="0" fontId="43" fillId="0" borderId="0" xfId="0" applyFont="1" applyAlignment="1" applyProtection="1">
      <alignment horizontal="center"/>
      <protection hidden="1"/>
    </xf>
    <xf numFmtId="0" fontId="32" fillId="0" borderId="0" xfId="3" applyFont="1" applyAlignment="1" applyProtection="1">
      <alignment horizontal="right" vertical="center"/>
      <protection hidden="1"/>
    </xf>
    <xf numFmtId="0" fontId="47" fillId="0" borderId="0" xfId="4" applyAlignment="1" applyProtection="1">
      <alignment horizontal="left"/>
      <protection hidden="1"/>
    </xf>
    <xf numFmtId="175" fontId="4" fillId="5" borderId="1" xfId="0" applyNumberFormat="1" applyFont="1" applyFill="1" applyBorder="1" applyAlignment="1" applyProtection="1">
      <alignment horizontal="right"/>
      <protection locked="0"/>
    </xf>
    <xf numFmtId="0" fontId="49" fillId="0" borderId="0" xfId="3" applyFont="1" applyProtection="1">
      <protection hidden="1"/>
    </xf>
    <xf numFmtId="0" fontId="49" fillId="4" borderId="0" xfId="3" applyFont="1" applyFill="1" applyProtection="1">
      <protection hidden="1"/>
    </xf>
    <xf numFmtId="0" fontId="49" fillId="0" borderId="0" xfId="3" applyFont="1"/>
    <xf numFmtId="0" fontId="49" fillId="6" borderId="0" xfId="3" applyFont="1" applyFill="1" applyProtection="1">
      <protection hidden="1"/>
    </xf>
    <xf numFmtId="0" fontId="49" fillId="0" borderId="0" xfId="3" applyFont="1" applyAlignment="1" applyProtection="1">
      <alignment horizontal="left" vertical="center"/>
      <protection hidden="1"/>
    </xf>
    <xf numFmtId="0" fontId="49" fillId="0" borderId="0" xfId="3" applyFont="1" applyAlignment="1" applyProtection="1">
      <alignment horizontal="center" vertical="center"/>
      <protection hidden="1"/>
    </xf>
    <xf numFmtId="0" fontId="5" fillId="0" borderId="0" xfId="3" applyFont="1" applyAlignment="1" applyProtection="1">
      <alignment vertical="center"/>
      <protection hidden="1"/>
    </xf>
    <xf numFmtId="0" fontId="5" fillId="6" borderId="0" xfId="3" applyFont="1" applyFill="1" applyAlignment="1" applyProtection="1">
      <alignment horizontal="center" vertical="center"/>
      <protection hidden="1"/>
    </xf>
    <xf numFmtId="0" fontId="50" fillId="0" borderId="0" xfId="3" applyFont="1" applyProtection="1">
      <protection hidden="1"/>
    </xf>
    <xf numFmtId="0" fontId="49" fillId="6" borderId="0" xfId="3" applyFont="1" applyFill="1" applyAlignment="1" applyProtection="1">
      <alignment horizontal="left" vertical="center" indent="6"/>
      <protection hidden="1"/>
    </xf>
    <xf numFmtId="0" fontId="4" fillId="0" borderId="0" xfId="3" quotePrefix="1" applyFont="1" applyAlignment="1" applyProtection="1">
      <alignment horizontal="center"/>
      <protection hidden="1"/>
    </xf>
    <xf numFmtId="0" fontId="4" fillId="4" borderId="0" xfId="3" applyFont="1" applyFill="1" applyAlignment="1" applyProtection="1">
      <alignment horizontal="left"/>
      <protection hidden="1"/>
    </xf>
    <xf numFmtId="0" fontId="51" fillId="0" borderId="0" xfId="3" applyFont="1" applyProtection="1">
      <protection hidden="1"/>
    </xf>
    <xf numFmtId="0" fontId="51" fillId="5" borderId="1" xfId="3" applyFont="1" applyFill="1" applyBorder="1" applyAlignment="1" applyProtection="1">
      <alignment horizontal="center"/>
      <protection locked="0"/>
    </xf>
    <xf numFmtId="0" fontId="4" fillId="0" borderId="0" xfId="3" applyFont="1" applyAlignment="1" applyProtection="1">
      <alignment horizontal="center"/>
      <protection hidden="1"/>
    </xf>
    <xf numFmtId="0" fontId="52" fillId="0" borderId="0" xfId="3" applyFont="1" applyProtection="1">
      <protection hidden="1"/>
    </xf>
    <xf numFmtId="0" fontId="53" fillId="0" borderId="0" xfId="3" applyFont="1" applyProtection="1">
      <protection hidden="1"/>
    </xf>
    <xf numFmtId="176" fontId="4" fillId="0" borderId="0" xfId="3" applyNumberFormat="1" applyFont="1" applyProtection="1">
      <protection hidden="1"/>
    </xf>
    <xf numFmtId="0" fontId="54" fillId="6" borderId="0" xfId="4" applyFont="1" applyFill="1" applyAlignment="1" applyProtection="1">
      <alignment horizontal="left" vertical="center" indent="6"/>
      <protection hidden="1"/>
    </xf>
    <xf numFmtId="177" fontId="51" fillId="0" borderId="0" xfId="3" applyNumberFormat="1" applyFont="1" applyProtection="1">
      <protection locked="0"/>
    </xf>
    <xf numFmtId="178" fontId="4" fillId="0" borderId="0" xfId="3" applyNumberFormat="1" applyFont="1" applyProtection="1">
      <protection hidden="1"/>
    </xf>
    <xf numFmtId="179" fontId="4" fillId="0" borderId="0" xfId="3" applyNumberFormat="1" applyFont="1" applyAlignment="1" applyProtection="1">
      <alignment horizontal="left"/>
      <protection hidden="1"/>
    </xf>
    <xf numFmtId="0" fontId="4" fillId="6" borderId="0" xfId="3" applyFont="1" applyFill="1" applyProtection="1">
      <protection hidden="1"/>
    </xf>
    <xf numFmtId="0" fontId="49" fillId="4" borderId="0" xfId="3" applyFont="1" applyFill="1"/>
    <xf numFmtId="173" fontId="4" fillId="0" borderId="0" xfId="3" applyNumberFormat="1" applyFont="1" applyProtection="1">
      <protection hidden="1"/>
    </xf>
    <xf numFmtId="164" fontId="43" fillId="0" borderId="0" xfId="3" applyNumberFormat="1" applyFont="1" applyProtection="1">
      <protection hidden="1"/>
    </xf>
    <xf numFmtId="173" fontId="43" fillId="0" borderId="0" xfId="3" applyNumberFormat="1" applyFont="1" applyProtection="1">
      <protection hidden="1"/>
    </xf>
    <xf numFmtId="2" fontId="5" fillId="4" borderId="0" xfId="0" applyNumberFormat="1" applyFont="1" applyFill="1" applyAlignment="1" applyProtection="1">
      <alignment horizontal="center"/>
      <protection hidden="1"/>
    </xf>
    <xf numFmtId="167" fontId="4" fillId="4" borderId="0" xfId="0" applyNumberFormat="1" applyFont="1" applyFill="1" applyProtection="1">
      <protection hidden="1"/>
    </xf>
    <xf numFmtId="10" fontId="4" fillId="4" borderId="0" xfId="2" applyNumberFormat="1" applyFont="1" applyFill="1" applyBorder="1" applyAlignment="1" applyProtection="1">
      <alignment horizontal="center"/>
      <protection hidden="1"/>
    </xf>
    <xf numFmtId="0" fontId="4" fillId="7" borderId="1" xfId="0" applyFont="1" applyFill="1" applyBorder="1" applyAlignment="1" applyProtection="1">
      <alignment horizontal="center"/>
      <protection hidden="1"/>
    </xf>
    <xf numFmtId="15" fontId="51" fillId="5" borderId="1" xfId="3" applyNumberFormat="1" applyFont="1" applyFill="1" applyBorder="1" applyAlignment="1" applyProtection="1">
      <alignment horizontal="center"/>
      <protection locked="0"/>
    </xf>
    <xf numFmtId="0" fontId="51" fillId="0" borderId="0" xfId="0" applyFont="1" applyAlignment="1">
      <alignment vertical="center"/>
    </xf>
    <xf numFmtId="0" fontId="38" fillId="8" borderId="11" xfId="0" applyFont="1" applyFill="1" applyBorder="1" applyAlignment="1" applyProtection="1">
      <alignment horizontal="center" wrapText="1"/>
      <protection hidden="1"/>
    </xf>
    <xf numFmtId="0" fontId="38" fillId="8" borderId="12" xfId="0" applyFont="1" applyFill="1" applyBorder="1" applyAlignment="1" applyProtection="1">
      <alignment horizontal="center" wrapText="1"/>
      <protection hidden="1"/>
    </xf>
    <xf numFmtId="0" fontId="38" fillId="8" borderId="13" xfId="0" applyFont="1" applyFill="1" applyBorder="1" applyAlignment="1" applyProtection="1">
      <alignment horizontal="center" wrapText="1"/>
      <protection hidden="1"/>
    </xf>
    <xf numFmtId="0" fontId="38" fillId="8" borderId="14" xfId="0" applyFont="1" applyFill="1" applyBorder="1" applyAlignment="1" applyProtection="1">
      <alignment horizontal="center" wrapText="1"/>
      <protection hidden="1"/>
    </xf>
    <xf numFmtId="0" fontId="38" fillId="8" borderId="0" xfId="0" applyFont="1" applyFill="1" applyAlignment="1" applyProtection="1">
      <alignment horizontal="center" wrapText="1"/>
      <protection hidden="1"/>
    </xf>
    <xf numFmtId="0" fontId="38" fillId="8" borderId="15" xfId="0" applyFont="1" applyFill="1" applyBorder="1" applyAlignment="1" applyProtection="1">
      <alignment horizontal="center" wrapText="1"/>
      <protection hidden="1"/>
    </xf>
    <xf numFmtId="0" fontId="38" fillId="8" borderId="16" xfId="0" applyFont="1" applyFill="1" applyBorder="1" applyAlignment="1" applyProtection="1">
      <alignment horizontal="center" wrapText="1"/>
      <protection hidden="1"/>
    </xf>
    <xf numFmtId="0" fontId="38" fillId="8" borderId="17" xfId="0" applyFont="1" applyFill="1" applyBorder="1" applyAlignment="1" applyProtection="1">
      <alignment horizontal="center" wrapText="1"/>
      <protection hidden="1"/>
    </xf>
    <xf numFmtId="0" fontId="38" fillId="8" borderId="18" xfId="0" applyFont="1" applyFill="1" applyBorder="1" applyAlignment="1" applyProtection="1">
      <alignment horizontal="center" wrapText="1"/>
      <protection hidden="1"/>
    </xf>
    <xf numFmtId="0" fontId="9" fillId="8" borderId="11" xfId="0" applyFont="1" applyFill="1" applyBorder="1" applyAlignment="1" applyProtection="1">
      <alignment horizontal="center" wrapText="1"/>
      <protection hidden="1"/>
    </xf>
    <xf numFmtId="0" fontId="4" fillId="8" borderId="12" xfId="0" applyFont="1" applyFill="1" applyBorder="1" applyAlignment="1" applyProtection="1">
      <alignment horizontal="center" wrapText="1"/>
      <protection hidden="1"/>
    </xf>
    <xf numFmtId="0" fontId="4" fillId="8" borderId="13" xfId="0" applyFont="1" applyFill="1" applyBorder="1" applyAlignment="1" applyProtection="1">
      <alignment horizontal="center" wrapText="1"/>
      <protection hidden="1"/>
    </xf>
    <xf numFmtId="0" fontId="4" fillId="8" borderId="14" xfId="0" applyFont="1" applyFill="1" applyBorder="1" applyAlignment="1" applyProtection="1">
      <alignment horizontal="center" wrapText="1"/>
      <protection hidden="1"/>
    </xf>
    <xf numFmtId="0" fontId="4" fillId="8" borderId="0" xfId="0" applyFont="1" applyFill="1" applyAlignment="1" applyProtection="1">
      <alignment horizontal="center" wrapText="1"/>
      <protection hidden="1"/>
    </xf>
    <xf numFmtId="0" fontId="4" fillId="8" borderId="15" xfId="0" applyFont="1" applyFill="1" applyBorder="1" applyAlignment="1" applyProtection="1">
      <alignment horizontal="center" wrapText="1"/>
      <protection hidden="1"/>
    </xf>
    <xf numFmtId="0" fontId="4" fillId="8" borderId="16" xfId="0" applyFont="1" applyFill="1" applyBorder="1" applyAlignment="1" applyProtection="1">
      <alignment horizontal="center" wrapText="1"/>
      <protection hidden="1"/>
    </xf>
    <xf numFmtId="0" fontId="4" fillId="8" borderId="17" xfId="0" applyFont="1" applyFill="1" applyBorder="1" applyAlignment="1" applyProtection="1">
      <alignment horizontal="center" wrapText="1"/>
      <protection hidden="1"/>
    </xf>
    <xf numFmtId="0" fontId="4" fillId="8" borderId="18" xfId="0" applyFont="1" applyFill="1" applyBorder="1" applyAlignment="1" applyProtection="1">
      <alignment horizontal="center" wrapText="1"/>
      <protection hidden="1"/>
    </xf>
    <xf numFmtId="0" fontId="9" fillId="8" borderId="13" xfId="0" applyFont="1" applyFill="1" applyBorder="1" applyAlignment="1" applyProtection="1">
      <alignment horizontal="center" wrapText="1"/>
      <protection hidden="1"/>
    </xf>
    <xf numFmtId="0" fontId="9" fillId="8" borderId="16" xfId="0" applyFont="1" applyFill="1" applyBorder="1" applyAlignment="1" applyProtection="1">
      <alignment horizontal="center" wrapText="1"/>
      <protection hidden="1"/>
    </xf>
    <xf numFmtId="0" fontId="9" fillId="8" borderId="18" xfId="0" applyFont="1" applyFill="1" applyBorder="1" applyAlignment="1" applyProtection="1">
      <alignment horizontal="center" wrapText="1"/>
      <protection hidden="1"/>
    </xf>
    <xf numFmtId="0" fontId="33" fillId="0" borderId="0" xfId="0" applyFont="1" applyAlignment="1" applyProtection="1">
      <alignment horizontal="center"/>
      <protection hidden="1"/>
    </xf>
    <xf numFmtId="0" fontId="48" fillId="4" borderId="0" xfId="0" applyFont="1" applyFill="1" applyAlignment="1" applyProtection="1">
      <alignment horizontal="center"/>
      <protection hidden="1"/>
    </xf>
    <xf numFmtId="0" fontId="33" fillId="4" borderId="0" xfId="0" applyFont="1" applyFill="1" applyAlignment="1" applyProtection="1">
      <alignment horizontal="center"/>
      <protection hidden="1"/>
    </xf>
    <xf numFmtId="0" fontId="4" fillId="0" borderId="2" xfId="0" applyFont="1" applyBorder="1" applyAlignment="1" applyProtection="1">
      <alignment horizontal="center"/>
      <protection hidden="1"/>
    </xf>
    <xf numFmtId="0" fontId="4" fillId="0" borderId="0" xfId="0" applyFont="1" applyAlignment="1" applyProtection="1">
      <alignment horizontal="center"/>
      <protection hidden="1"/>
    </xf>
    <xf numFmtId="0" fontId="6" fillId="0" borderId="0" xfId="0" applyFont="1" applyAlignment="1" applyProtection="1">
      <alignment horizontal="right"/>
      <protection hidden="1"/>
    </xf>
    <xf numFmtId="0" fontId="10" fillId="0" borderId="0" xfId="0" applyFont="1" applyAlignment="1" applyProtection="1">
      <alignment horizontal="center"/>
      <protection hidden="1"/>
    </xf>
    <xf numFmtId="0" fontId="5" fillId="0" borderId="0" xfId="0" applyFont="1" applyAlignment="1" applyProtection="1">
      <alignment horizontal="center"/>
      <protection hidden="1"/>
    </xf>
    <xf numFmtId="0" fontId="9" fillId="0" borderId="6" xfId="0" applyFont="1" applyBorder="1" applyAlignment="1" applyProtection="1">
      <alignment horizontal="center" wrapText="1"/>
      <protection hidden="1"/>
    </xf>
    <xf numFmtId="0" fontId="9" fillId="0" borderId="7" xfId="0" applyFont="1" applyBorder="1" applyAlignment="1" applyProtection="1">
      <alignment horizontal="center" wrapText="1"/>
      <protection hidden="1"/>
    </xf>
    <xf numFmtId="0" fontId="9" fillId="0" borderId="0" xfId="0" applyFont="1" applyAlignment="1" applyProtection="1">
      <alignment horizontal="center" wrapText="1"/>
      <protection hidden="1"/>
    </xf>
    <xf numFmtId="0" fontId="6" fillId="0" borderId="0" xfId="0" applyFont="1" applyAlignment="1" applyProtection="1">
      <alignment horizontal="right" vertical="center"/>
      <protection hidden="1"/>
    </xf>
    <xf numFmtId="0" fontId="4" fillId="5" borderId="11" xfId="0" applyFont="1" applyFill="1" applyBorder="1" applyAlignment="1" applyProtection="1">
      <alignment horizontal="center" vertical="center"/>
      <protection hidden="1"/>
    </xf>
    <xf numFmtId="0" fontId="4" fillId="5" borderId="12" xfId="0" applyFont="1" applyFill="1" applyBorder="1" applyAlignment="1" applyProtection="1">
      <alignment horizontal="center" vertical="center"/>
      <protection hidden="1"/>
    </xf>
    <xf numFmtId="0" fontId="4" fillId="5" borderId="13" xfId="0" applyFont="1" applyFill="1" applyBorder="1" applyAlignment="1" applyProtection="1">
      <alignment horizontal="center" vertical="center"/>
      <protection hidden="1"/>
    </xf>
    <xf numFmtId="0" fontId="4" fillId="7" borderId="14" xfId="0" applyFont="1" applyFill="1" applyBorder="1" applyAlignment="1" applyProtection="1">
      <alignment horizontal="center" vertical="center"/>
      <protection hidden="1"/>
    </xf>
    <xf numFmtId="0" fontId="4" fillId="7" borderId="0" xfId="0" applyFont="1" applyFill="1" applyAlignment="1" applyProtection="1">
      <alignment horizontal="center" vertical="center"/>
      <protection hidden="1"/>
    </xf>
    <xf numFmtId="0" fontId="4" fillId="7" borderId="15" xfId="0" applyFont="1" applyFill="1" applyBorder="1" applyAlignment="1" applyProtection="1">
      <alignment horizontal="center" vertical="center"/>
      <protection hidden="1"/>
    </xf>
    <xf numFmtId="0" fontId="4" fillId="8" borderId="16" xfId="0" applyFont="1" applyFill="1" applyBorder="1" applyAlignment="1" applyProtection="1">
      <alignment horizontal="center" vertical="center"/>
      <protection hidden="1"/>
    </xf>
    <xf numFmtId="0" fontId="4" fillId="8" borderId="17" xfId="0" applyFont="1" applyFill="1" applyBorder="1" applyAlignment="1" applyProtection="1">
      <alignment horizontal="center" vertical="center"/>
      <protection hidden="1"/>
    </xf>
    <xf numFmtId="0" fontId="4" fillId="8" borderId="18" xfId="0" applyFont="1" applyFill="1" applyBorder="1" applyAlignment="1" applyProtection="1">
      <alignment horizontal="center" vertical="center"/>
      <protection hidden="1"/>
    </xf>
    <xf numFmtId="0" fontId="34" fillId="8" borderId="12" xfId="0" applyFont="1" applyFill="1" applyBorder="1" applyAlignment="1" applyProtection="1">
      <alignment horizontal="center"/>
      <protection hidden="1"/>
    </xf>
    <xf numFmtId="0" fontId="5" fillId="4" borderId="17" xfId="0" applyFont="1" applyFill="1" applyBorder="1" applyAlignment="1" applyProtection="1">
      <alignment horizontal="center"/>
      <protection hidden="1"/>
    </xf>
    <xf numFmtId="0" fontId="35" fillId="0" borderId="17" xfId="0" applyFont="1" applyBorder="1" applyAlignment="1" applyProtection="1">
      <alignment horizontal="center" vertical="center" wrapText="1"/>
      <protection hidden="1"/>
    </xf>
    <xf numFmtId="0" fontId="6" fillId="0" borderId="0" xfId="3" applyFont="1" applyAlignment="1" applyProtection="1">
      <alignment horizontal="right"/>
      <protection hidden="1"/>
    </xf>
    <xf numFmtId="0" fontId="7" fillId="0" borderId="0" xfId="3" applyFont="1" applyAlignment="1" applyProtection="1">
      <alignment horizontal="left" vertical="center" wrapText="1"/>
      <protection hidden="1"/>
    </xf>
    <xf numFmtId="0" fontId="41" fillId="8" borderId="11" xfId="3" applyFont="1" applyFill="1" applyBorder="1" applyAlignment="1" applyProtection="1">
      <alignment horizontal="left" vertical="top" wrapText="1"/>
      <protection hidden="1"/>
    </xf>
    <xf numFmtId="0" fontId="41" fillId="8" borderId="12" xfId="3" applyFont="1" applyFill="1" applyBorder="1" applyAlignment="1" applyProtection="1">
      <alignment horizontal="left" vertical="top" wrapText="1"/>
      <protection hidden="1"/>
    </xf>
    <xf numFmtId="0" fontId="41" fillId="8" borderId="13" xfId="3" applyFont="1" applyFill="1" applyBorder="1" applyAlignment="1" applyProtection="1">
      <alignment horizontal="left" vertical="top" wrapText="1"/>
      <protection hidden="1"/>
    </xf>
    <xf numFmtId="0" fontId="41" fillId="8" borderId="14" xfId="3" applyFont="1" applyFill="1" applyBorder="1" applyAlignment="1" applyProtection="1">
      <alignment horizontal="left" vertical="top" wrapText="1"/>
      <protection hidden="1"/>
    </xf>
    <xf numFmtId="0" fontId="41" fillId="8" borderId="0" xfId="3" applyFont="1" applyFill="1" applyAlignment="1" applyProtection="1">
      <alignment horizontal="left" vertical="top" wrapText="1"/>
      <protection hidden="1"/>
    </xf>
    <xf numFmtId="0" fontId="41" fillId="8" borderId="15" xfId="3" applyFont="1" applyFill="1" applyBorder="1" applyAlignment="1" applyProtection="1">
      <alignment horizontal="left" vertical="top" wrapText="1"/>
      <protection hidden="1"/>
    </xf>
    <xf numFmtId="0" fontId="41" fillId="8" borderId="16" xfId="3" applyFont="1" applyFill="1" applyBorder="1" applyAlignment="1" applyProtection="1">
      <alignment horizontal="left" vertical="top" wrapText="1"/>
      <protection hidden="1"/>
    </xf>
    <xf numFmtId="0" fontId="41" fillId="8" borderId="17" xfId="3" applyFont="1" applyFill="1" applyBorder="1" applyAlignment="1" applyProtection="1">
      <alignment horizontal="left" vertical="top" wrapText="1"/>
      <protection hidden="1"/>
    </xf>
    <xf numFmtId="0" fontId="41" fillId="8" borderId="18" xfId="3" applyFont="1" applyFill="1" applyBorder="1" applyAlignment="1" applyProtection="1">
      <alignment horizontal="left" vertical="top" wrapText="1"/>
      <protection hidden="1"/>
    </xf>
    <xf numFmtId="0" fontId="42" fillId="0" borderId="0" xfId="3" applyFont="1" applyAlignment="1" applyProtection="1">
      <alignment horizontal="left" vertical="top" wrapText="1"/>
      <protection hidden="1"/>
    </xf>
    <xf numFmtId="0" fontId="6" fillId="0" borderId="0" xfId="0" applyFont="1" applyAlignment="1" applyProtection="1">
      <alignment horizontal="center"/>
      <protection hidden="1"/>
    </xf>
    <xf numFmtId="169" fontId="5" fillId="7" borderId="4" xfId="2" applyNumberFormat="1" applyFont="1" applyFill="1" applyBorder="1" applyAlignment="1" applyProtection="1">
      <alignment horizontal="center"/>
      <protection hidden="1"/>
    </xf>
    <xf numFmtId="169" fontId="5" fillId="7" borderId="8" xfId="2" applyNumberFormat="1" applyFont="1" applyFill="1" applyBorder="1" applyAlignment="1" applyProtection="1">
      <alignment horizontal="center"/>
      <protection hidden="1"/>
    </xf>
    <xf numFmtId="167" fontId="5" fillId="7" borderId="4" xfId="0" applyNumberFormat="1" applyFont="1" applyFill="1" applyBorder="1" applyAlignment="1" applyProtection="1">
      <alignment horizontal="center"/>
      <protection hidden="1"/>
    </xf>
    <xf numFmtId="167" fontId="5" fillId="7" borderId="8" xfId="0" applyNumberFormat="1" applyFont="1" applyFill="1" applyBorder="1" applyAlignment="1" applyProtection="1">
      <alignment horizontal="center"/>
      <protection hidden="1"/>
    </xf>
    <xf numFmtId="0" fontId="5" fillId="0" borderId="0" xfId="0" applyFont="1" applyAlignment="1" applyProtection="1">
      <alignment horizontal="center" vertical="center" wrapText="1"/>
      <protection hidden="1"/>
    </xf>
    <xf numFmtId="0" fontId="5" fillId="0" borderId="7" xfId="0" applyFont="1" applyBorder="1" applyAlignment="1" applyProtection="1">
      <alignment horizontal="center" vertical="center" wrapText="1"/>
      <protection hidden="1"/>
    </xf>
    <xf numFmtId="0" fontId="9" fillId="0" borderId="12" xfId="0" applyFont="1" applyBorder="1" applyAlignment="1" applyProtection="1">
      <alignment horizontal="center" wrapText="1"/>
      <protection hidden="1"/>
    </xf>
    <xf numFmtId="0" fontId="5" fillId="0" borderId="0" xfId="3" applyFont="1" applyAlignment="1" applyProtection="1">
      <alignment horizontal="center" vertical="center"/>
      <protection hidden="1"/>
    </xf>
    <xf numFmtId="179" fontId="4" fillId="0" borderId="0" xfId="3" applyNumberFormat="1" applyFont="1" applyAlignment="1" applyProtection="1">
      <alignment horizontal="left"/>
      <protection hidden="1"/>
    </xf>
  </cellXfs>
  <cellStyles count="5">
    <cellStyle name="Comma" xfId="1" builtinId="3"/>
    <cellStyle name="Hyperlink" xfId="4" builtinId="8"/>
    <cellStyle name="Normal" xfId="0" builtinId="0"/>
    <cellStyle name="Normal 2" xfId="3" xr:uid="{4C2F3F84-220B-4B83-9A91-0839D1813DB0}"/>
    <cellStyle name="Percent" xfId="2" builtinId="5"/>
  </cellStyles>
  <dxfs count="154">
    <dxf>
      <font>
        <color theme="0"/>
      </font>
      <fill>
        <patternFill patternType="none">
          <bgColor auto="1"/>
        </patternFill>
      </fill>
      <border>
        <left/>
        <right/>
        <top/>
        <bottom/>
        <vertical/>
        <horizontal/>
      </border>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lor theme="0"/>
      </font>
    </dxf>
    <dxf>
      <fill>
        <patternFill>
          <bgColor rgb="FFCCFFCC"/>
        </patternFill>
      </fill>
    </dxf>
    <dxf>
      <font>
        <color theme="0"/>
      </font>
      <fill>
        <patternFill patternType="none">
          <bgColor auto="1"/>
        </patternFill>
      </fill>
      <border>
        <left/>
        <right/>
        <top/>
        <bottom/>
        <vertical/>
        <horizontal/>
      </border>
    </dxf>
    <dxf>
      <font>
        <condense val="0"/>
        <extend val="0"/>
        <color indexed="9"/>
      </font>
      <fill>
        <patternFill>
          <bgColor indexed="9"/>
        </patternFill>
      </fill>
      <border>
        <left/>
        <right/>
        <top/>
        <bottom/>
      </border>
    </dxf>
    <dxf>
      <font>
        <color theme="0"/>
      </font>
      <fill>
        <patternFill patternType="none">
          <bgColor auto="1"/>
        </patternFill>
      </fill>
      <border>
        <left/>
        <right/>
        <top/>
        <bottom/>
        <vertical/>
        <horizontal/>
      </border>
    </dxf>
    <dxf>
      <font>
        <color theme="0"/>
      </font>
    </dxf>
    <dxf>
      <font>
        <color auto="1"/>
      </font>
      <fill>
        <patternFill>
          <bgColor theme="5" tint="0.59996337778862885"/>
        </patternFill>
      </fill>
    </dxf>
    <dxf>
      <numFmt numFmtId="12" formatCode="&quot;$&quot;#,##0.00_);[Red]\(&quot;$&quot;#,##0.00\)"/>
      <fill>
        <patternFill>
          <bgColor theme="5" tint="0.59996337778862885"/>
        </patternFill>
      </fill>
      <border>
        <left style="thin">
          <color auto="1"/>
        </left>
        <right style="thin">
          <color auto="1"/>
        </right>
        <top style="thin">
          <color auto="1"/>
        </top>
        <bottom style="thin">
          <color auto="1"/>
        </bottom>
      </border>
    </dxf>
    <dxf>
      <numFmt numFmtId="12" formatCode="&quot;$&quot;#,##0.00_);[Red]\(&quot;$&quot;#,##0.00\)"/>
      <fill>
        <patternFill>
          <bgColor theme="5" tint="0.59996337778862885"/>
        </patternFill>
      </fill>
      <border>
        <left style="thin">
          <color auto="1"/>
        </left>
        <right style="thin">
          <color auto="1"/>
        </right>
        <top style="thin">
          <color auto="1"/>
        </top>
        <bottom style="thin">
          <color auto="1"/>
        </bottom>
      </border>
    </dxf>
    <dxf>
      <numFmt numFmtId="12" formatCode="&quot;$&quot;#,##0.00_);[Red]\(&quot;$&quot;#,##0.00\)"/>
      <fill>
        <patternFill>
          <bgColor theme="5" tint="0.59996337778862885"/>
        </patternFill>
      </fill>
      <border>
        <left style="thin">
          <color auto="1"/>
        </left>
        <right style="thin">
          <color auto="1"/>
        </right>
        <top style="thin">
          <color auto="1"/>
        </top>
        <bottom style="thin">
          <color auto="1"/>
        </bottom>
      </border>
    </dxf>
    <dxf>
      <numFmt numFmtId="12" formatCode="&quot;$&quot;#,##0.00_);[Red]\(&quot;$&quot;#,##0.00\)"/>
      <fill>
        <patternFill>
          <bgColor theme="5" tint="0.59996337778862885"/>
        </patternFill>
      </fill>
      <border>
        <left style="thin">
          <color auto="1"/>
        </left>
        <right style="thin">
          <color auto="1"/>
        </right>
        <top style="thin">
          <color auto="1"/>
        </top>
        <bottom style="thin">
          <color auto="1"/>
        </bottom>
      </border>
    </dxf>
    <dxf>
      <fill>
        <patternFill>
          <bgColor theme="5" tint="0.59996337778862885"/>
        </patternFill>
      </fill>
    </dxf>
    <dxf>
      <fill>
        <patternFill>
          <bgColor theme="5" tint="0.59996337778862885"/>
        </patternFill>
      </fill>
    </dxf>
    <dxf>
      <font>
        <color theme="0"/>
      </font>
      <fill>
        <patternFill>
          <bgColor theme="0"/>
        </patternFill>
      </fill>
    </dxf>
    <dxf>
      <fill>
        <patternFill>
          <bgColor theme="5" tint="0.59996337778862885"/>
        </patternFill>
      </fill>
    </dxf>
    <dxf>
      <font>
        <color auto="1"/>
      </font>
      <fill>
        <patternFill>
          <bgColor rgb="FFCCFFCC"/>
        </patternFill>
      </fill>
    </dxf>
    <dxf>
      <font>
        <color theme="0"/>
      </font>
      <fill>
        <patternFill>
          <bgColor theme="0"/>
        </patternFill>
      </fill>
    </dxf>
    <dxf>
      <fill>
        <patternFill>
          <bgColor theme="4" tint="0.79998168889431442"/>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5" tint="0.59996337778862885"/>
        </patternFill>
      </fill>
    </dxf>
    <dxf>
      <fill>
        <patternFill>
          <bgColor theme="5" tint="0.59996337778862885"/>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4" tint="0.79998168889431442"/>
        </patternFill>
      </fill>
    </dxf>
    <dxf>
      <fill>
        <patternFill>
          <bgColor theme="5" tint="0.59996337778862885"/>
        </patternFill>
      </fill>
    </dxf>
    <dxf>
      <fill>
        <patternFill>
          <bgColor theme="4" tint="0.79998168889431442"/>
        </patternFill>
      </fill>
    </dxf>
    <dxf>
      <fill>
        <patternFill>
          <bgColor theme="4" tint="0.79998168889431442"/>
        </patternFill>
      </fill>
    </dxf>
    <dxf>
      <fill>
        <patternFill>
          <bgColor theme="5" tint="0.59996337778862885"/>
        </patternFill>
      </fill>
    </dxf>
    <dxf>
      <font>
        <color theme="0"/>
      </font>
    </dxf>
    <dxf>
      <fill>
        <patternFill>
          <bgColor theme="4" tint="0.79998168889431442"/>
        </patternFill>
      </fill>
    </dxf>
    <dxf>
      <fill>
        <patternFill>
          <bgColor theme="5" tint="0.59996337778862885"/>
        </patternFill>
      </fill>
    </dxf>
    <dxf>
      <font>
        <color rgb="FF9C0006"/>
      </font>
      <fill>
        <patternFill>
          <bgColor theme="5" tint="0.59996337778862885"/>
        </patternFill>
      </fill>
      <border>
        <left style="thin">
          <color auto="1"/>
        </left>
        <right style="thin">
          <color auto="1"/>
        </right>
        <top style="thin">
          <color auto="1"/>
        </top>
        <bottom style="thin">
          <color auto="1"/>
        </bottom>
      </border>
    </dxf>
    <dxf>
      <font>
        <color rgb="FF9C0006"/>
      </font>
      <fill>
        <patternFill>
          <bgColor theme="5" tint="0.59996337778862885"/>
        </patternFill>
      </fill>
    </dxf>
    <dxf>
      <font>
        <condense val="0"/>
        <extend val="0"/>
        <color indexed="9"/>
      </font>
      <fill>
        <patternFill>
          <bgColor indexed="9"/>
        </patternFill>
      </fill>
      <border>
        <left/>
        <right/>
        <top/>
        <bottom/>
      </border>
    </dxf>
    <dxf>
      <font>
        <color theme="0"/>
      </font>
      <fill>
        <patternFill patternType="none">
          <bgColor auto="1"/>
        </patternFill>
      </fill>
      <border>
        <left/>
        <right/>
        <top style="thin">
          <color auto="1"/>
        </top>
        <bottom style="thin">
          <color auto="1"/>
        </bottom>
        <vertical/>
        <horizontal/>
      </border>
    </dxf>
    <dxf>
      <fill>
        <patternFill>
          <bgColor theme="5" tint="0.59996337778862885"/>
        </patternFill>
      </fill>
    </dxf>
    <dxf>
      <font>
        <color theme="0"/>
      </font>
      <fill>
        <patternFill patternType="none">
          <bgColor auto="1"/>
        </patternFill>
      </fill>
      <border>
        <left/>
        <right/>
        <top style="thin">
          <color auto="1"/>
        </top>
        <bottom style="thin">
          <color auto="1"/>
        </bottom>
      </border>
    </dxf>
    <dxf>
      <font>
        <condense val="0"/>
        <extend val="0"/>
        <color indexed="42"/>
      </font>
      <fill>
        <patternFill>
          <bgColor indexed="42"/>
        </patternFill>
      </fill>
      <border>
        <left/>
        <right/>
        <top/>
        <bottom/>
      </border>
    </dxf>
    <dxf>
      <font>
        <color rgb="FF9C0006"/>
      </font>
      <fill>
        <patternFill>
          <bgColor rgb="FFFFC7CE"/>
        </patternFill>
      </fill>
    </dxf>
    <dxf>
      <font>
        <color theme="0"/>
      </font>
    </dxf>
    <dxf>
      <font>
        <color theme="0"/>
      </font>
    </dxf>
    <dxf>
      <font>
        <color theme="0"/>
      </font>
      <fill>
        <patternFill patternType="none">
          <bgColor auto="1"/>
        </patternFill>
      </fill>
      <border>
        <left/>
        <right/>
        <top/>
        <bottom/>
        <vertical/>
        <horizontal/>
      </border>
    </dxf>
    <dxf>
      <font>
        <condense val="0"/>
        <extend val="0"/>
        <color indexed="42"/>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auto="1"/>
      </font>
      <fill>
        <patternFill>
          <bgColor theme="4" tint="0.79998168889431442"/>
        </patternFill>
      </fill>
    </dxf>
    <dxf>
      <font>
        <color rgb="FF9C0006"/>
      </font>
      <fill>
        <patternFill>
          <bgColor rgb="FFFFC7CE"/>
        </patternFill>
      </fill>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ndense val="0"/>
        <extend val="0"/>
        <color indexed="9"/>
      </font>
    </dxf>
    <dxf>
      <font>
        <condense val="0"/>
        <extend val="0"/>
        <color indexed="9"/>
      </font>
      <fill>
        <patternFill>
          <bgColor indexed="9"/>
        </patternFill>
      </fill>
      <border>
        <left/>
        <right/>
        <top/>
        <bottom/>
      </border>
    </dxf>
    <dxf>
      <font>
        <condense val="0"/>
        <extend val="0"/>
        <color indexed="9"/>
      </font>
      <fill>
        <patternFill>
          <bgColor indexed="9"/>
        </patternFill>
      </fill>
      <border>
        <left/>
        <right/>
        <top/>
        <bottom/>
      </border>
    </dxf>
    <dxf>
      <font>
        <color theme="0"/>
      </font>
    </dxf>
    <dxf>
      <fill>
        <patternFill>
          <bgColor rgb="FFCCFFCC"/>
        </patternFill>
      </fill>
    </dxf>
    <dxf>
      <font>
        <color theme="0"/>
      </font>
      <fill>
        <patternFill patternType="none">
          <bgColor auto="1"/>
        </patternFill>
      </fill>
      <border>
        <left/>
        <right/>
        <top/>
        <bottom/>
        <vertical/>
        <horizontal/>
      </border>
    </dxf>
    <dxf>
      <font>
        <b/>
        <i val="0"/>
        <condense val="0"/>
        <extend val="0"/>
        <color auto="1"/>
      </font>
      <fill>
        <patternFill>
          <bgColor theme="5" tint="0.59996337778862885"/>
        </patternFill>
      </fill>
    </dxf>
    <dxf>
      <fill>
        <patternFill>
          <bgColor theme="1"/>
        </patternFill>
      </fill>
    </dxf>
    <dxf>
      <fill>
        <patternFill>
          <bgColor theme="5" tint="0.59996337778862885"/>
        </patternFill>
      </fill>
      <border>
        <left style="thin">
          <color auto="1"/>
        </left>
        <right style="thin">
          <color auto="1"/>
        </right>
        <top style="thin">
          <color auto="1"/>
        </top>
        <bottom style="thin">
          <color auto="1"/>
        </bottom>
      </border>
    </dxf>
    <dxf>
      <fill>
        <patternFill>
          <bgColor theme="4" tint="0.79998168889431442"/>
        </patternFill>
      </fill>
      <border>
        <left style="thin">
          <color auto="1"/>
        </left>
        <right style="thin">
          <color auto="1"/>
        </right>
        <top style="thin">
          <color auto="1"/>
        </top>
        <bottom style="thin">
          <color auto="1"/>
        </bottom>
        <vertical/>
        <horizontal/>
      </border>
    </dxf>
    <dxf>
      <fill>
        <patternFill>
          <bgColor theme="1"/>
        </patternFill>
      </fill>
    </dxf>
    <dxf>
      <fill>
        <patternFill>
          <bgColor theme="5" tint="0.59996337778862885"/>
        </patternFill>
      </fill>
      <border>
        <left style="thin">
          <color auto="1"/>
        </left>
        <right style="thin">
          <color auto="1"/>
        </right>
        <top style="thin">
          <color auto="1"/>
        </top>
        <bottom style="thin">
          <color auto="1"/>
        </bottom>
      </border>
    </dxf>
    <dxf>
      <fill>
        <patternFill>
          <bgColor theme="4" tint="0.79998168889431442"/>
        </patternFill>
      </fill>
      <border>
        <left style="thin">
          <color auto="1"/>
        </left>
        <right style="thin">
          <color auto="1"/>
        </right>
        <top style="thin">
          <color auto="1"/>
        </top>
        <bottom style="thin">
          <color auto="1"/>
        </bottom>
        <vertical/>
        <horizontal/>
      </border>
    </dxf>
    <dxf>
      <font>
        <color theme="0"/>
      </font>
      <fill>
        <patternFill>
          <bgColor theme="0"/>
        </patternFill>
      </fill>
    </dxf>
    <dxf>
      <fill>
        <patternFill>
          <bgColor theme="1"/>
        </patternFill>
      </fill>
    </dxf>
    <dxf>
      <font>
        <color theme="0"/>
      </font>
    </dxf>
    <dxf>
      <font>
        <b/>
        <i val="0"/>
        <condense val="0"/>
        <extend val="0"/>
        <color auto="1"/>
      </font>
      <fill>
        <patternFill>
          <bgColor theme="5" tint="0.59996337778862885"/>
        </patternFill>
      </fill>
    </dxf>
    <dxf>
      <font>
        <color theme="0"/>
      </font>
    </dxf>
    <dxf>
      <font>
        <color theme="0"/>
      </font>
      <fill>
        <patternFill>
          <bgColor theme="0"/>
        </patternFill>
      </fill>
      <border>
        <left/>
        <right/>
        <top/>
        <bottom style="thin">
          <color auto="1"/>
        </bottom>
        <vertical/>
        <horizontal/>
      </border>
    </dxf>
    <dxf>
      <font>
        <color theme="0"/>
      </font>
      <fill>
        <patternFill>
          <bgColor theme="0"/>
        </patternFill>
      </fill>
      <border>
        <left/>
        <right/>
        <top/>
        <bottom/>
        <vertical/>
        <horizontal/>
      </border>
    </dxf>
    <dxf>
      <fill>
        <patternFill>
          <bgColor theme="5" tint="0.59996337778862885"/>
        </patternFill>
      </fill>
    </dxf>
    <dxf>
      <fill>
        <patternFill>
          <bgColor theme="5" tint="0.59996337778862885"/>
        </patternFill>
      </fill>
    </dxf>
    <dxf>
      <fill>
        <patternFill>
          <bgColor theme="5" tint="0.59996337778862885"/>
        </patternFill>
      </fill>
    </dxf>
    <dxf>
      <font>
        <color theme="0"/>
      </font>
    </dxf>
    <dxf>
      <font>
        <color theme="0"/>
      </font>
      <fill>
        <patternFill>
          <bgColor theme="0"/>
        </patternFill>
      </fill>
      <border>
        <left style="thin">
          <color auto="1"/>
        </left>
        <right/>
        <top/>
        <bottom/>
        <vertical/>
        <horizontal/>
      </border>
    </dxf>
    <dxf>
      <font>
        <color theme="0"/>
      </font>
    </dxf>
    <dxf>
      <font>
        <color theme="0"/>
      </font>
      <fill>
        <patternFill patternType="none">
          <bgColor auto="1"/>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1"/>
        </patternFill>
      </fill>
    </dxf>
    <dxf>
      <fill>
        <patternFill>
          <bgColor theme="1"/>
        </patternFill>
      </fill>
    </dxf>
    <dxf>
      <font>
        <condense val="0"/>
        <extend val="0"/>
        <color indexed="9"/>
      </font>
      <fill>
        <patternFill>
          <bgColor indexed="9"/>
        </patternFill>
      </fill>
      <border>
        <left/>
        <right/>
        <top/>
        <bottom/>
      </border>
    </dxf>
    <dxf>
      <font>
        <condense val="0"/>
        <extend val="0"/>
        <color indexed="9"/>
      </font>
    </dxf>
    <dxf>
      <fill>
        <patternFill>
          <bgColor theme="0"/>
        </patternFill>
      </fill>
      <border>
        <left/>
        <right/>
        <top/>
        <bottom/>
      </border>
    </dxf>
    <dxf>
      <fill>
        <patternFill>
          <bgColor theme="0"/>
        </patternFill>
      </fill>
      <border>
        <left/>
        <right/>
        <top/>
        <bottom/>
      </border>
    </dxf>
    <dxf>
      <font>
        <b/>
        <i val="0"/>
        <color auto="1"/>
      </font>
      <fill>
        <patternFill>
          <bgColor theme="2" tint="-9.9948118533890809E-2"/>
        </patternFill>
      </fill>
      <border>
        <left/>
        <right/>
        <top/>
        <bottom/>
        <vertical/>
        <horizontal/>
      </border>
    </dxf>
    <dxf>
      <font>
        <b/>
        <i val="0"/>
        <color auto="1"/>
      </font>
      <fill>
        <patternFill>
          <bgColor theme="2" tint="-9.9948118533890809E-2"/>
        </patternFill>
      </fill>
      <border>
        <left/>
        <right/>
        <top/>
        <bottom/>
        <vertical/>
        <horizontal/>
      </border>
    </dxf>
    <dxf>
      <font>
        <b/>
        <i val="0"/>
        <color auto="1"/>
      </font>
      <fill>
        <patternFill>
          <bgColor theme="2" tint="-9.9948118533890809E-2"/>
        </patternFill>
      </fill>
      <border>
        <left/>
        <right/>
        <top/>
        <bottom/>
        <vertical/>
        <horizontal/>
      </border>
    </dxf>
    <dxf>
      <font>
        <b/>
        <i val="0"/>
        <color auto="1"/>
      </font>
      <fill>
        <patternFill>
          <bgColor theme="2" tint="-9.9948118533890809E-2"/>
        </patternFill>
      </fill>
      <border>
        <left/>
        <right/>
        <top/>
        <bottom/>
        <vertical/>
        <horizontal/>
      </border>
    </dxf>
    <dxf>
      <fill>
        <patternFill>
          <bgColor theme="0"/>
        </patternFill>
      </fill>
      <border>
        <left/>
        <right/>
        <top/>
        <bottom/>
      </border>
    </dxf>
    <dxf>
      <fill>
        <patternFill>
          <bgColor theme="0"/>
        </patternFill>
      </fill>
      <border>
        <left/>
        <right/>
        <top/>
        <bottom/>
      </border>
    </dxf>
    <dxf>
      <fill>
        <patternFill patternType="none">
          <bgColor auto="1"/>
        </patternFill>
      </fill>
      <border>
        <right/>
        <top/>
        <bottom/>
      </border>
    </dxf>
    <dxf>
      <fill>
        <patternFill>
          <bgColor theme="0"/>
        </patternFill>
      </fill>
    </dxf>
    <dxf>
      <fill>
        <patternFill patternType="solid">
          <bgColor theme="0"/>
        </patternFill>
      </fill>
      <border>
        <left/>
        <right/>
        <top/>
        <bottom/>
      </border>
    </dxf>
    <dxf>
      <fill>
        <patternFill patternType="solid">
          <bgColor theme="0"/>
        </patternFill>
      </fill>
      <border>
        <left/>
        <right/>
        <top/>
        <bottom/>
      </border>
    </dxf>
    <dxf>
      <fill>
        <patternFill>
          <bgColor theme="0"/>
        </patternFill>
      </fill>
      <border>
        <left/>
        <right/>
        <top/>
        <bottom/>
      </border>
    </dxf>
    <dxf>
      <font>
        <color theme="0"/>
      </font>
      <border>
        <left style="thin">
          <color auto="1"/>
        </left>
        <right/>
        <top/>
        <bottom/>
        <vertical/>
        <horizontal/>
      </border>
    </dxf>
    <dxf>
      <font>
        <color theme="0"/>
      </font>
      <fill>
        <patternFill>
          <bgColor theme="0"/>
        </patternFill>
      </fill>
      <border>
        <left/>
        <right/>
        <top/>
        <bottom/>
      </border>
    </dxf>
    <dxf>
      <font>
        <color theme="0"/>
      </font>
      <fill>
        <patternFill patternType="none">
          <bgColor auto="1"/>
        </patternFill>
      </fill>
      <border>
        <left/>
        <right/>
        <top/>
        <bottom/>
        <vertical/>
        <horizontal/>
      </border>
    </dxf>
    <dxf>
      <font>
        <color theme="0"/>
      </font>
      <fill>
        <patternFill>
          <bgColor theme="0"/>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CCFFCC"/>
      <color rgb="FFDCE6F1"/>
      <color rgb="FFFFFFCC"/>
      <color rgb="FFFFFF99"/>
      <color rgb="FFFFCC99"/>
      <color rgb="FFFFCC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 Id="rId4" Type="http://schemas.openxmlformats.org/officeDocument/2006/relationships/image" Target="cid:image001.gif@01CC8829.1FDF8240" TargetMode="Externa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0</xdr:col>
      <xdr:colOff>219075</xdr:colOff>
      <xdr:row>1</xdr:row>
      <xdr:rowOff>118110</xdr:rowOff>
    </xdr:from>
    <xdr:to>
      <xdr:col>8</xdr:col>
      <xdr:colOff>104775</xdr:colOff>
      <xdr:row>27</xdr:row>
      <xdr:rowOff>66711</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219075" y="285750"/>
          <a:ext cx="4762500" cy="41529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mn-lt"/>
              <a:ea typeface="+mn-ea"/>
              <a:cs typeface="+mn-cs"/>
            </a:rPr>
            <a:t>Important Disclaimer</a:t>
          </a:r>
        </a:p>
        <a:p>
          <a:r>
            <a:rPr lang="en-US" sz="1100">
              <a:solidFill>
                <a:schemeClr val="dk1"/>
              </a:solidFill>
              <a:effectLst/>
              <a:latin typeface="+mn-lt"/>
              <a:ea typeface="+mn-ea"/>
              <a:cs typeface="+mn-cs"/>
            </a:rPr>
            <a:t> </a:t>
          </a:r>
        </a:p>
        <a:p>
          <a:r>
            <a:rPr lang="en-US" sz="1100">
              <a:solidFill>
                <a:schemeClr val="dk1"/>
              </a:solidFill>
              <a:effectLst/>
              <a:latin typeface="+mn-lt"/>
              <a:ea typeface="+mn-ea"/>
              <a:cs typeface="+mn-cs"/>
            </a:rPr>
            <a:t>This Levy Calculation Form is a worksheet that allows the District to calculate and analyze the available levy and extension amounts and is prepared for informational purposes only. Reasonable efforts and generally accepted methods of calculation have been incorporated into the spreadsheets. However, PMA Securties (PMA) takes no responsibility for the accuracy of the output and it is highly recommended that users verify calculations independently. The data input, projections, and assumptions provided in this form are based on the information provided by the District. PMA will not verify the accuracy of the data provided by the District and is not responsible for any inaccuracies or incompleteness that appears in the data provided in this form.  </a:t>
          </a:r>
        </a:p>
        <a:p>
          <a:r>
            <a:rPr lang="en-US" sz="1100">
              <a:solidFill>
                <a:schemeClr val="dk1"/>
              </a:solidFill>
              <a:effectLst/>
              <a:latin typeface="+mn-lt"/>
              <a:ea typeface="+mn-ea"/>
              <a:cs typeface="+mn-cs"/>
            </a:rPr>
            <a:t> </a:t>
          </a:r>
        </a:p>
        <a:p>
          <a:r>
            <a:rPr lang="en-US" sz="1100">
              <a:solidFill>
                <a:schemeClr val="dk1"/>
              </a:solidFill>
              <a:effectLst/>
              <a:latin typeface="+mn-lt"/>
              <a:ea typeface="+mn-ea"/>
              <a:cs typeface="+mn-cs"/>
            </a:rPr>
            <a:t> </a:t>
          </a:r>
        </a:p>
        <a:p>
          <a:endParaRPr lang="en-US" sz="11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104775</xdr:colOff>
          <xdr:row>2</xdr:row>
          <xdr:rowOff>28575</xdr:rowOff>
        </xdr:from>
        <xdr:to>
          <xdr:col>8</xdr:col>
          <xdr:colOff>561975</xdr:colOff>
          <xdr:row>60</xdr:row>
          <xdr:rowOff>133350</xdr:rowOff>
        </xdr:to>
        <xdr:sp macro="" textlink="">
          <xdr:nvSpPr>
            <xdr:cNvPr id="3073" name="Object 1"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114300</xdr:colOff>
          <xdr:row>62</xdr:row>
          <xdr:rowOff>66675</xdr:rowOff>
        </xdr:from>
        <xdr:to>
          <xdr:col>8</xdr:col>
          <xdr:colOff>533400</xdr:colOff>
          <xdr:row>106</xdr:row>
          <xdr:rowOff>28575</xdr:rowOff>
        </xdr:to>
        <xdr:sp macro="" textlink="">
          <xdr:nvSpPr>
            <xdr:cNvPr id="3075" name="Object 3" hidden="1">
              <a:extLst>
                <a:ext uri="{63B3BB69-23CF-44E3-9099-C40C66FF867C}">
                  <a14:compatExt spid="_x0000_s3075"/>
                </a:ext>
                <a:ext uri="{FF2B5EF4-FFF2-40B4-BE49-F238E27FC236}">
                  <a16:creationId xmlns:a16="http://schemas.microsoft.com/office/drawing/2014/main" id="{00000000-0008-0000-0100-0000030C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2</xdr:col>
      <xdr:colOff>238125</xdr:colOff>
      <xdr:row>20</xdr:row>
      <xdr:rowOff>95250</xdr:rowOff>
    </xdr:from>
    <xdr:to>
      <xdr:col>10</xdr:col>
      <xdr:colOff>85725</xdr:colOff>
      <xdr:row>42</xdr:row>
      <xdr:rowOff>38100</xdr:rowOff>
    </xdr:to>
    <xdr:pic>
      <xdr:nvPicPr>
        <xdr:cNvPr id="5381" name="Picture 2">
          <a:extLst>
            <a:ext uri="{FF2B5EF4-FFF2-40B4-BE49-F238E27FC236}">
              <a16:creationId xmlns:a16="http://schemas.microsoft.com/office/drawing/2014/main" id="{00000000-0008-0000-0400-00000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7325" y="3990975"/>
          <a:ext cx="4724400" cy="3705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285750</xdr:colOff>
      <xdr:row>46</xdr:row>
      <xdr:rowOff>85725</xdr:rowOff>
    </xdr:from>
    <xdr:to>
      <xdr:col>10</xdr:col>
      <xdr:colOff>228600</xdr:colOff>
      <xdr:row>70</xdr:row>
      <xdr:rowOff>47625</xdr:rowOff>
    </xdr:to>
    <xdr:pic>
      <xdr:nvPicPr>
        <xdr:cNvPr id="5382" name="Picture 3">
          <a:extLst>
            <a:ext uri="{FF2B5EF4-FFF2-40B4-BE49-F238E27FC236}">
              <a16:creationId xmlns:a16="http://schemas.microsoft.com/office/drawing/2014/main" id="{00000000-0008-0000-0400-0000061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04950" y="8429625"/>
          <a:ext cx="4819650" cy="384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304800</xdr:colOff>
      <xdr:row>70</xdr:row>
      <xdr:rowOff>152400</xdr:rowOff>
    </xdr:from>
    <xdr:to>
      <xdr:col>10</xdr:col>
      <xdr:colOff>247650</xdr:colOff>
      <xdr:row>92</xdr:row>
      <xdr:rowOff>9525</xdr:rowOff>
    </xdr:to>
    <xdr:pic>
      <xdr:nvPicPr>
        <xdr:cNvPr id="5383" name="Picture 4">
          <a:extLst>
            <a:ext uri="{FF2B5EF4-FFF2-40B4-BE49-F238E27FC236}">
              <a16:creationId xmlns:a16="http://schemas.microsoft.com/office/drawing/2014/main" id="{00000000-0008-0000-0400-0000071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524000" y="12382500"/>
          <a:ext cx="4819650" cy="3419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561975</xdr:colOff>
      <xdr:row>3</xdr:row>
      <xdr:rowOff>209550</xdr:rowOff>
    </xdr:from>
    <xdr:to>
      <xdr:col>7</xdr:col>
      <xdr:colOff>200025</xdr:colOff>
      <xdr:row>4</xdr:row>
      <xdr:rowOff>209550</xdr:rowOff>
    </xdr:to>
    <xdr:pic>
      <xdr:nvPicPr>
        <xdr:cNvPr id="5384" name="Picture 5" descr="Button image">
          <a:extLst>
            <a:ext uri="{FF2B5EF4-FFF2-40B4-BE49-F238E27FC236}">
              <a16:creationId xmlns:a16="http://schemas.microsoft.com/office/drawing/2014/main" id="{00000000-0008-0000-0400-000008150000}"/>
            </a:ext>
          </a:extLst>
        </xdr:cNvPr>
        <xdr:cNvPicPr>
          <a:picLocks noChangeAspect="1" noChangeArrowheads="1"/>
        </xdr:cNvPicPr>
      </xdr:nvPicPr>
      <xdr:blipFill>
        <a:blip xmlns:r="http://schemas.openxmlformats.org/officeDocument/2006/relationships" r:link="rId4">
          <a:extLst>
            <a:ext uri="{28A0092B-C50C-407E-A947-70E740481C1C}">
              <a14:useLocalDpi xmlns:a14="http://schemas.microsoft.com/office/drawing/2010/main" val="0"/>
            </a:ext>
          </a:extLst>
        </a:blip>
        <a:srcRect/>
        <a:stretch>
          <a:fillRect/>
        </a:stretch>
      </xdr:blipFill>
      <xdr:spPr bwMode="auto">
        <a:xfrm>
          <a:off x="4219575" y="695325"/>
          <a:ext cx="24765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91440</xdr:colOff>
      <xdr:row>16</xdr:row>
      <xdr:rowOff>76200</xdr:rowOff>
    </xdr:from>
    <xdr:to>
      <xdr:col>3</xdr:col>
      <xdr:colOff>598170</xdr:colOff>
      <xdr:row>18</xdr:row>
      <xdr:rowOff>17145</xdr:rowOff>
    </xdr:to>
    <xdr:cxnSp macro="">
      <xdr:nvCxnSpPr>
        <xdr:cNvPr id="2" name="Straight Arrow Connector 1">
          <a:extLst>
            <a:ext uri="{FF2B5EF4-FFF2-40B4-BE49-F238E27FC236}">
              <a16:creationId xmlns:a16="http://schemas.microsoft.com/office/drawing/2014/main" id="{00000000-0008-0000-0500-000002000000}"/>
            </a:ext>
          </a:extLst>
        </xdr:cNvPr>
        <xdr:cNvCxnSpPr/>
      </xdr:nvCxnSpPr>
      <xdr:spPr>
        <a:xfrm flipH="1">
          <a:off x="4305300" y="3025140"/>
          <a:ext cx="1131570" cy="29908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219075</xdr:colOff>
      <xdr:row>15</xdr:row>
      <xdr:rowOff>182880</xdr:rowOff>
    </xdr:from>
    <xdr:to>
      <xdr:col>3</xdr:col>
      <xdr:colOff>571500</xdr:colOff>
      <xdr:row>16</xdr:row>
      <xdr:rowOff>114300</xdr:rowOff>
    </xdr:to>
    <xdr:cxnSp macro="">
      <xdr:nvCxnSpPr>
        <xdr:cNvPr id="2" name="Straight Arrow Connector 1">
          <a:extLst>
            <a:ext uri="{FF2B5EF4-FFF2-40B4-BE49-F238E27FC236}">
              <a16:creationId xmlns:a16="http://schemas.microsoft.com/office/drawing/2014/main" id="{00000000-0008-0000-0700-000002000000}"/>
            </a:ext>
          </a:extLst>
        </xdr:cNvPr>
        <xdr:cNvCxnSpPr/>
      </xdr:nvCxnSpPr>
      <xdr:spPr>
        <a:xfrm flipH="1">
          <a:off x="4314825" y="2973705"/>
          <a:ext cx="962025" cy="13144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L:\Public%20Finance\Miscellaneous\Presentations\Levy%20Workshops\2024\PMA%20Levy%20Worksheet_Library%20Districts%202024.xlsx" TargetMode="External"/><Relationship Id="rId1" Type="http://schemas.openxmlformats.org/officeDocument/2006/relationships/externalLinkPath" Target="PMA%20Levy%20Worksheet_Library%20Districts%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isclaimer"/>
      <sheetName val="Instructions"/>
      <sheetName val="Input"/>
      <sheetName val="Calculations"/>
      <sheetName val="copyright_disclaimer"/>
      <sheetName val="Tax Calculator - Calculations"/>
      <sheetName val="Extension"/>
      <sheetName val="Tax Calculator - Extension"/>
      <sheetName val="Truth in Taxation"/>
      <sheetName val="InfoPage"/>
    </sheetNames>
    <sheetDataSet>
      <sheetData sheetId="0" refreshError="1"/>
      <sheetData sheetId="1" refreshError="1"/>
      <sheetData sheetId="2">
        <row r="9">
          <cell r="C9">
            <v>2024</v>
          </cell>
        </row>
      </sheetData>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openxmlformats.org/officeDocument/2006/relationships/package" Target="../embeddings/Microsoft_Word_Document.docx"/><Relationship Id="rId5" Type="http://schemas.openxmlformats.org/officeDocument/2006/relationships/image" Target="../media/image1.emf"/><Relationship Id="rId4" Type="http://schemas.openxmlformats.org/officeDocument/2006/relationships/oleObject" Target="../embeddings/Microsoft_Word_97_-_2003_Document.doc"/></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akim@pmanetwork.com" TargetMode="External"/><Relationship Id="rId1" Type="http://schemas.openxmlformats.org/officeDocument/2006/relationships/hyperlink" Target="mailto:sadams@pmanetwork.com"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0">
    <tabColor rgb="FFFFFF99"/>
  </sheetPr>
  <dimension ref="A1"/>
  <sheetViews>
    <sheetView tabSelected="1" workbookViewId="0">
      <selection activeCell="K9" sqref="K9"/>
    </sheetView>
  </sheetViews>
  <sheetFormatPr defaultRowHeight="12.75" x14ac:dyDescent="0.2"/>
  <sheetData/>
  <sheetProtection algorithmName="SHA-512" hashValue="e2wlkFGQIVniULGAioJDCD4MP3NcvXniT32e30pnBhLlO2gCYgZXRyzed/Vr/HaEUnDppotfnmSnQkOjG5+IIw==" saltValue="KTBXQ4biCdQziEMq+K7OrQ==" spinCount="100000" sheet="1" objects="1" scenario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tabColor rgb="FFFFFF99"/>
  </sheetPr>
  <dimension ref="A1:J2"/>
  <sheetViews>
    <sheetView showGridLines="0" zoomScaleNormal="100" workbookViewId="0">
      <selection activeCell="A62" sqref="A62:XFD66"/>
    </sheetView>
  </sheetViews>
  <sheetFormatPr defaultColWidth="0" defaultRowHeight="12.75" x14ac:dyDescent="0.2"/>
  <cols>
    <col min="1" max="9" width="11.85546875" customWidth="1"/>
    <col min="10" max="10" width="11.85546875" hidden="1" customWidth="1"/>
    <col min="11" max="16384" width="9.140625" hidden="1"/>
  </cols>
  <sheetData>
    <row r="1" spans="1:3" x14ac:dyDescent="0.2">
      <c r="A1" s="1" t="s">
        <v>26</v>
      </c>
      <c r="B1" s="48"/>
      <c r="C1" s="1"/>
    </row>
    <row r="2" spans="1:3" x14ac:dyDescent="0.2">
      <c r="A2" s="1"/>
      <c r="B2" s="48"/>
      <c r="C2" s="1"/>
    </row>
  </sheetData>
  <sheetProtection algorithmName="SHA-512" hashValue="CC+7ZDTKL2mcwIDFi+hUw960zMSaAzKIJiA75CQDSp+mKCP/bHaW6W6Krys1Cp9OY6Ypvqx/RcQtZMfbUf4qng==" saltValue="3aET4AvPuRzUF94yrfvNiQ==" spinCount="100000" sheet="1" objects="1" scenarios="1"/>
  <phoneticPr fontId="3" type="noConversion"/>
  <pageMargins left="0.5" right="0.5" top="0.5" bottom="0.5" header="0.5" footer="0.5"/>
  <pageSetup orientation="portrait" r:id="rId1"/>
  <headerFooter alignWithMargins="0"/>
  <drawing r:id="rId2"/>
  <legacyDrawing r:id="rId3"/>
  <oleObjects>
    <mc:AlternateContent xmlns:mc="http://schemas.openxmlformats.org/markup-compatibility/2006">
      <mc:Choice Requires="x14">
        <oleObject progId="Word.Document.8" shapeId="3073" r:id="rId4">
          <objectPr defaultSize="0" autoPict="0" r:id="rId5">
            <anchor moveWithCells="1">
              <from>
                <xdr:col>0</xdr:col>
                <xdr:colOff>104775</xdr:colOff>
                <xdr:row>2</xdr:row>
                <xdr:rowOff>28575</xdr:rowOff>
              </from>
              <to>
                <xdr:col>8</xdr:col>
                <xdr:colOff>561975</xdr:colOff>
                <xdr:row>60</xdr:row>
                <xdr:rowOff>133350</xdr:rowOff>
              </to>
            </anchor>
          </objectPr>
        </oleObject>
      </mc:Choice>
      <mc:Fallback>
        <oleObject progId="Word.Document.8" shapeId="3073" r:id="rId4"/>
      </mc:Fallback>
    </mc:AlternateContent>
    <mc:AlternateContent xmlns:mc="http://schemas.openxmlformats.org/markup-compatibility/2006">
      <mc:Choice Requires="x14">
        <oleObject progId="Word.Document.12" shapeId="3075" r:id="rId6">
          <objectPr defaultSize="0" autoPict="0" r:id="rId7">
            <anchor moveWithCells="1">
              <from>
                <xdr:col>0</xdr:col>
                <xdr:colOff>114300</xdr:colOff>
                <xdr:row>62</xdr:row>
                <xdr:rowOff>66675</xdr:rowOff>
              </from>
              <to>
                <xdr:col>8</xdr:col>
                <xdr:colOff>533400</xdr:colOff>
                <xdr:row>106</xdr:row>
                <xdr:rowOff>28575</xdr:rowOff>
              </to>
            </anchor>
          </objectPr>
        </oleObject>
      </mc:Choice>
      <mc:Fallback>
        <oleObject progId="Word.Document.12" shapeId="3075" r:id="rId6"/>
      </mc:Fallback>
    </mc:AlternateContent>
  </oleObjec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92D050"/>
    <pageSetUpPr fitToPage="1"/>
  </sheetPr>
  <dimension ref="A1:AB82"/>
  <sheetViews>
    <sheetView showGridLines="0" topLeftCell="A32" zoomScaleNormal="100" workbookViewId="0">
      <selection activeCell="C41" sqref="C41"/>
    </sheetView>
  </sheetViews>
  <sheetFormatPr defaultColWidth="0" defaultRowHeight="12.75" zeroHeight="1" x14ac:dyDescent="0.2"/>
  <cols>
    <col min="1" max="1" width="19.5703125" style="1" customWidth="1"/>
    <col min="2" max="2" width="28.42578125" style="13" customWidth="1"/>
    <col min="3" max="3" width="16.140625" style="1" customWidth="1"/>
    <col min="4" max="4" width="18.28515625" style="1" customWidth="1"/>
    <col min="5" max="5" width="12.85546875" style="14" bestFit="1" customWidth="1"/>
    <col min="6" max="6" width="12" style="14" bestFit="1" customWidth="1"/>
    <col min="7" max="8" width="14" style="1" customWidth="1"/>
    <col min="9" max="27" width="9.140625" style="1" hidden="1" customWidth="1"/>
    <col min="28" max="28" width="9.140625" style="12" hidden="1" customWidth="1"/>
    <col min="29" max="16384" width="9.140625" style="1" hidden="1"/>
  </cols>
  <sheetData>
    <row r="1" spans="1:28" x14ac:dyDescent="0.2">
      <c r="A1" s="1" t="s">
        <v>97</v>
      </c>
      <c r="B1" s="48"/>
      <c r="E1" s="1"/>
      <c r="F1" s="1"/>
    </row>
    <row r="2" spans="1:28" x14ac:dyDescent="0.2">
      <c r="A2" s="1" t="s">
        <v>152</v>
      </c>
      <c r="B2" s="48"/>
      <c r="E2" s="1"/>
      <c r="F2" s="1"/>
    </row>
    <row r="3" spans="1:28" hidden="1" x14ac:dyDescent="0.2">
      <c r="A3" s="48" t="s">
        <v>153</v>
      </c>
      <c r="B3" s="48"/>
      <c r="E3" s="1"/>
      <c r="F3" s="1"/>
    </row>
    <row r="4" spans="1:28" x14ac:dyDescent="0.2">
      <c r="A4" s="48" t="s">
        <v>157</v>
      </c>
      <c r="B4" s="204" t="s">
        <v>156</v>
      </c>
      <c r="E4" s="1"/>
      <c r="F4" s="1"/>
    </row>
    <row r="5" spans="1:28" x14ac:dyDescent="0.2">
      <c r="A5" s="48" t="s">
        <v>154</v>
      </c>
      <c r="B5" s="204" t="s">
        <v>155</v>
      </c>
      <c r="E5" s="1"/>
      <c r="F5" s="1"/>
    </row>
    <row r="6" spans="1:28" x14ac:dyDescent="0.2">
      <c r="A6" s="1" t="s">
        <v>27</v>
      </c>
      <c r="B6" s="48"/>
      <c r="E6" s="1"/>
      <c r="F6" s="1"/>
    </row>
    <row r="7" spans="1:28" s="14" customFormat="1" ht="19.5" thickBot="1" x14ac:dyDescent="0.35">
      <c r="A7" s="70" t="s">
        <v>2</v>
      </c>
      <c r="B7" s="71"/>
      <c r="C7" s="70"/>
      <c r="D7" s="71"/>
      <c r="E7" s="71"/>
      <c r="F7" s="84" t="s">
        <v>32</v>
      </c>
      <c r="G7" s="71"/>
      <c r="H7" s="71"/>
      <c r="AB7" s="15" t="s">
        <v>8</v>
      </c>
    </row>
    <row r="8" spans="1:28" s="14" customFormat="1" ht="15.75" customHeight="1" x14ac:dyDescent="0.2">
      <c r="A8" s="71"/>
      <c r="B8" s="72"/>
      <c r="C8" s="71"/>
      <c r="D8" s="71"/>
      <c r="E8" s="83"/>
      <c r="F8" s="100" t="s">
        <v>30</v>
      </c>
      <c r="G8" s="82"/>
      <c r="H8" s="71"/>
      <c r="AB8" s="15" t="s">
        <v>9</v>
      </c>
    </row>
    <row r="9" spans="1:28" ht="15.75" x14ac:dyDescent="0.25">
      <c r="A9" s="73"/>
      <c r="B9" s="73" t="s">
        <v>49</v>
      </c>
      <c r="C9" s="236">
        <v>2024</v>
      </c>
      <c r="D9" s="74"/>
      <c r="E9" s="68"/>
      <c r="F9" s="98" t="s">
        <v>31</v>
      </c>
      <c r="G9" s="69"/>
      <c r="H9" s="71"/>
    </row>
    <row r="10" spans="1:28" s="14" customFormat="1" ht="15.75" customHeight="1" thickBot="1" x14ac:dyDescent="0.25">
      <c r="A10" s="72"/>
      <c r="B10" s="72"/>
      <c r="C10" s="71"/>
      <c r="D10" s="71"/>
      <c r="E10" s="91"/>
      <c r="F10" s="99" t="s">
        <v>35</v>
      </c>
      <c r="G10" s="92"/>
      <c r="H10" s="71"/>
      <c r="AB10" s="15"/>
    </row>
    <row r="11" spans="1:28" ht="15.75" x14ac:dyDescent="0.25">
      <c r="A11" s="73"/>
      <c r="B11" s="73" t="s">
        <v>39</v>
      </c>
      <c r="C11" s="65"/>
      <c r="D11" s="74" t="s">
        <v>60</v>
      </c>
      <c r="E11" s="71"/>
      <c r="F11" s="71"/>
      <c r="G11" s="71"/>
      <c r="H11" s="71"/>
    </row>
    <row r="12" spans="1:28" ht="15.75" hidden="1" x14ac:dyDescent="0.25">
      <c r="A12" s="73"/>
      <c r="B12" s="73" t="s">
        <v>38</v>
      </c>
      <c r="C12" s="65"/>
      <c r="D12" s="74" t="s">
        <v>61</v>
      </c>
      <c r="E12" s="71"/>
      <c r="F12" s="71"/>
      <c r="G12" s="71"/>
      <c r="H12" s="71"/>
    </row>
    <row r="13" spans="1:28" ht="15.75" x14ac:dyDescent="0.25">
      <c r="A13" s="73"/>
      <c r="B13" s="73" t="s">
        <v>58</v>
      </c>
      <c r="C13" s="65"/>
      <c r="D13" s="74" t="s">
        <v>80</v>
      </c>
      <c r="E13" s="71"/>
      <c r="F13" s="71"/>
      <c r="G13" s="71"/>
      <c r="H13" s="71"/>
    </row>
    <row r="14" spans="1:28" ht="15.75" x14ac:dyDescent="0.25">
      <c r="A14" s="73"/>
      <c r="B14" s="73" t="s">
        <v>40</v>
      </c>
      <c r="C14" s="65"/>
      <c r="D14" s="74" t="s">
        <v>77</v>
      </c>
      <c r="E14" s="71"/>
      <c r="F14" s="71"/>
      <c r="G14" s="71"/>
      <c r="H14" s="71"/>
    </row>
    <row r="15" spans="1:28" ht="15.75" x14ac:dyDescent="0.25">
      <c r="A15" s="73"/>
      <c r="B15" s="73" t="s">
        <v>41</v>
      </c>
      <c r="C15" s="65"/>
      <c r="D15" s="74" t="s">
        <v>79</v>
      </c>
      <c r="E15" s="71"/>
      <c r="F15" s="71"/>
      <c r="G15" s="71"/>
      <c r="H15" s="71"/>
    </row>
    <row r="16" spans="1:28" ht="15.75" x14ac:dyDescent="0.25">
      <c r="A16" s="73"/>
      <c r="B16" s="73" t="s">
        <v>42</v>
      </c>
      <c r="C16" s="65"/>
      <c r="D16" s="74" t="s">
        <v>78</v>
      </c>
      <c r="E16" s="71"/>
      <c r="F16" s="71"/>
      <c r="G16" s="71"/>
      <c r="H16" s="71"/>
    </row>
    <row r="17" spans="1:28" s="14" customFormat="1" x14ac:dyDescent="0.2">
      <c r="A17" s="72"/>
      <c r="B17" s="72"/>
      <c r="C17" s="74" t="s">
        <v>3</v>
      </c>
      <c r="D17" s="71"/>
      <c r="E17" s="71"/>
      <c r="F17" s="71"/>
      <c r="G17" s="71"/>
      <c r="H17" s="71"/>
      <c r="AB17" s="15"/>
    </row>
    <row r="18" spans="1:28" s="14" customFormat="1" ht="13.5" thickBot="1" x14ac:dyDescent="0.25">
      <c r="A18" s="72"/>
      <c r="B18" s="72"/>
      <c r="C18" s="71"/>
      <c r="D18" s="71"/>
      <c r="E18" s="71"/>
      <c r="F18" s="71"/>
      <c r="G18" s="71"/>
      <c r="H18" s="71"/>
      <c r="AB18" s="15"/>
    </row>
    <row r="19" spans="1:28" ht="15.75" customHeight="1" x14ac:dyDescent="0.25">
      <c r="A19" s="75"/>
      <c r="B19" s="73" t="s">
        <v>43</v>
      </c>
      <c r="C19" s="101" t="s">
        <v>8</v>
      </c>
      <c r="D19" s="74" t="s">
        <v>62</v>
      </c>
      <c r="E19" s="239" t="s">
        <v>104</v>
      </c>
      <c r="F19" s="240"/>
      <c r="G19" s="241"/>
      <c r="H19" s="71"/>
    </row>
    <row r="20" spans="1:28" ht="7.9" customHeight="1" x14ac:dyDescent="0.25">
      <c r="A20" s="75"/>
      <c r="B20" s="73"/>
      <c r="C20" s="75"/>
      <c r="D20" s="75"/>
      <c r="E20" s="242"/>
      <c r="F20" s="243"/>
      <c r="G20" s="244"/>
      <c r="H20" s="71"/>
    </row>
    <row r="21" spans="1:28" s="14" customFormat="1" ht="16.5" thickBot="1" x14ac:dyDescent="0.3">
      <c r="A21" s="72"/>
      <c r="B21" s="73" t="s">
        <v>59</v>
      </c>
      <c r="C21" s="101" t="s">
        <v>9</v>
      </c>
      <c r="D21" s="74" t="s">
        <v>62</v>
      </c>
      <c r="E21" s="245"/>
      <c r="F21" s="246"/>
      <c r="G21" s="247"/>
      <c r="H21" s="71"/>
      <c r="AB21" s="15"/>
    </row>
    <row r="22" spans="1:28" s="14" customFormat="1" x14ac:dyDescent="0.2">
      <c r="A22" s="72"/>
      <c r="B22" s="72"/>
      <c r="C22" s="71"/>
      <c r="D22" s="71"/>
      <c r="E22" s="71"/>
      <c r="F22" s="71"/>
      <c r="G22" s="71"/>
      <c r="H22" s="71"/>
      <c r="AB22" s="15"/>
    </row>
    <row r="23" spans="1:28" ht="15.6" hidden="1" customHeight="1" x14ac:dyDescent="0.25">
      <c r="A23" s="73"/>
      <c r="B23" s="73" t="s">
        <v>44</v>
      </c>
      <c r="C23" s="65" t="s">
        <v>10</v>
      </c>
      <c r="D23" s="74"/>
      <c r="E23" s="248"/>
      <c r="F23" s="257"/>
      <c r="G23" s="71"/>
      <c r="H23" s="71"/>
    </row>
    <row r="24" spans="1:28" ht="16.5" hidden="1" thickBot="1" x14ac:dyDescent="0.3">
      <c r="A24" s="73"/>
      <c r="B24" s="73" t="s">
        <v>45</v>
      </c>
      <c r="C24" s="65"/>
      <c r="D24" s="74"/>
      <c r="E24" s="258"/>
      <c r="F24" s="259"/>
      <c r="G24" s="71"/>
      <c r="H24" s="71"/>
    </row>
    <row r="25" spans="1:28" s="14" customFormat="1" hidden="1" x14ac:dyDescent="0.2">
      <c r="A25" s="72"/>
      <c r="B25" s="72"/>
      <c r="C25" s="74" t="s">
        <v>4</v>
      </c>
      <c r="D25" s="71"/>
      <c r="E25" s="71"/>
      <c r="F25" s="71"/>
      <c r="G25" s="71"/>
      <c r="H25" s="71"/>
      <c r="AB25" s="15"/>
    </row>
    <row r="26" spans="1:28" s="14" customFormat="1" hidden="1" x14ac:dyDescent="0.2">
      <c r="A26" s="72"/>
      <c r="B26" s="72"/>
      <c r="C26" s="71"/>
      <c r="D26" s="71"/>
      <c r="E26" s="71"/>
      <c r="F26" s="71"/>
      <c r="G26" s="71"/>
      <c r="H26" s="71"/>
      <c r="AB26" s="15"/>
    </row>
    <row r="27" spans="1:28" s="14" customFormat="1" hidden="1" x14ac:dyDescent="0.2">
      <c r="A27" s="72"/>
      <c r="B27" s="72"/>
      <c r="C27" s="71"/>
      <c r="D27" s="71"/>
      <c r="E27" s="71"/>
      <c r="F27" s="71"/>
      <c r="G27" s="71"/>
      <c r="H27" s="71"/>
      <c r="AB27" s="15"/>
    </row>
    <row r="28" spans="1:28" ht="15.75" x14ac:dyDescent="0.25">
      <c r="A28" s="73"/>
      <c r="B28" s="73" t="s">
        <v>102</v>
      </c>
      <c r="C28" s="89">
        <v>3.4000000000000002E-2</v>
      </c>
      <c r="D28" s="76" t="str">
        <f>" Lesser of 5% or CPI for Year Ending "&amp;C9-1&amp;", Applies to the "&amp;C9&amp;" Levy"</f>
        <v xml:space="preserve"> Lesser of 5% or CPI for Year Ending 2023, Applies to the 2024 Levy</v>
      </c>
      <c r="E28" s="71"/>
      <c r="F28" s="71"/>
      <c r="G28" s="71"/>
      <c r="H28" s="71"/>
    </row>
    <row r="29" spans="1:28" ht="12.75" customHeight="1" x14ac:dyDescent="0.25">
      <c r="A29" s="73"/>
      <c r="B29" s="73"/>
      <c r="C29" s="71"/>
      <c r="D29" s="76"/>
      <c r="E29" s="71"/>
      <c r="F29" s="71"/>
      <c r="G29" s="71"/>
      <c r="H29" s="71"/>
    </row>
    <row r="30" spans="1:28" ht="15.75" x14ac:dyDescent="0.25">
      <c r="A30" s="73"/>
      <c r="B30" s="73" t="str">
        <f>"Actual Rate Setting EAV for "&amp;C9-1&amp;" "</f>
        <v xml:space="preserve">Actual Rate Setting EAV for 2023 </v>
      </c>
      <c r="C30" s="55"/>
      <c r="D30" s="74" t="str">
        <f>" Enter Actual Rate Setting EAV for "&amp;C9-1&amp;""</f>
        <v xml:space="preserve"> Enter Actual Rate Setting EAV for 2023</v>
      </c>
      <c r="E30" s="71"/>
      <c r="F30" s="71"/>
      <c r="G30" s="71"/>
      <c r="H30" s="71"/>
    </row>
    <row r="31" spans="1:28" x14ac:dyDescent="0.2">
      <c r="A31" s="71"/>
      <c r="B31" s="72"/>
      <c r="C31" s="71"/>
      <c r="D31" s="71"/>
      <c r="E31" s="71"/>
      <c r="F31" s="71"/>
      <c r="G31" s="71"/>
      <c r="H31" s="71"/>
    </row>
    <row r="32" spans="1:28" ht="15.75" x14ac:dyDescent="0.25">
      <c r="A32" s="71"/>
      <c r="B32" s="73" t="str">
        <f>"Preliminary Figure Available for "&amp;C9&amp;" EAV? "</f>
        <v xml:space="preserve">Preliminary Figure Available for 2024 EAV? </v>
      </c>
      <c r="C32" s="101" t="s">
        <v>9</v>
      </c>
      <c r="D32" s="74" t="s">
        <v>158</v>
      </c>
      <c r="E32" s="71"/>
      <c r="F32" s="71"/>
      <c r="G32" s="71"/>
      <c r="H32" s="71"/>
    </row>
    <row r="33" spans="1:8" x14ac:dyDescent="0.2">
      <c r="A33" s="71"/>
      <c r="B33" s="72"/>
      <c r="C33" s="71"/>
      <c r="D33" s="71"/>
      <c r="E33" s="71"/>
      <c r="F33" s="71"/>
      <c r="G33" s="71"/>
      <c r="H33" s="71"/>
    </row>
    <row r="34" spans="1:8" ht="15.75" x14ac:dyDescent="0.25">
      <c r="A34" s="73"/>
      <c r="B34" s="73" t="str">
        <f>"Estimated Existing EAV % Change for "&amp;C9&amp;" "</f>
        <v xml:space="preserve">Estimated Existing EAV % Change for 2024 </v>
      </c>
      <c r="C34" s="102"/>
      <c r="D34" s="74" t="str">
        <f>IF(C19="Yes","Enter Reassessment Percentage Before New Property","Enter Reassessment Percentage")</f>
        <v>Enter Reassessment Percentage Before New Property</v>
      </c>
      <c r="E34" s="71"/>
      <c r="F34" s="71"/>
      <c r="G34" s="71"/>
      <c r="H34" s="71"/>
    </row>
    <row r="35" spans="1:8" hidden="1" x14ac:dyDescent="0.2">
      <c r="A35" s="72"/>
      <c r="B35" s="72"/>
      <c r="C35" s="71"/>
      <c r="D35" s="71"/>
      <c r="E35" s="71"/>
      <c r="F35" s="71"/>
      <c r="G35" s="71"/>
      <c r="H35" s="71"/>
    </row>
    <row r="36" spans="1:8" ht="15.75" x14ac:dyDescent="0.25">
      <c r="A36" s="73"/>
      <c r="B36" s="73" t="str">
        <f>"Estimated or Preliminary EAV for "&amp;C9&amp;" "</f>
        <v xml:space="preserve">Estimated or Preliminary EAV for 2024 </v>
      </c>
      <c r="C36" s="205"/>
      <c r="D36" s="74"/>
      <c r="E36" s="71"/>
      <c r="F36" s="71"/>
      <c r="G36" s="71"/>
      <c r="H36" s="71"/>
    </row>
    <row r="37" spans="1:8" x14ac:dyDescent="0.2">
      <c r="A37" s="72"/>
      <c r="B37" s="72"/>
      <c r="C37" s="71"/>
      <c r="D37" s="71"/>
      <c r="E37" s="71"/>
      <c r="F37" s="71"/>
      <c r="G37" s="260" t="s">
        <v>159</v>
      </c>
      <c r="H37" s="260"/>
    </row>
    <row r="38" spans="1:8" ht="15.75" x14ac:dyDescent="0.25">
      <c r="A38" s="73"/>
      <c r="B38" s="73" t="str">
        <f>"Estimated New Property for "&amp;C9&amp;" "</f>
        <v xml:space="preserve">Estimated New Property for 2024 </v>
      </c>
      <c r="C38" s="55"/>
      <c r="D38" s="74" t="s">
        <v>63</v>
      </c>
      <c r="E38" s="71"/>
      <c r="F38" s="71"/>
      <c r="G38" s="261" t="s">
        <v>160</v>
      </c>
      <c r="H38" s="261"/>
    </row>
    <row r="39" spans="1:8" ht="12.75" customHeight="1" x14ac:dyDescent="0.25">
      <c r="A39" s="73"/>
      <c r="B39" s="73"/>
      <c r="C39" s="71"/>
      <c r="D39" s="74"/>
      <c r="E39" s="71"/>
      <c r="F39" s="71"/>
      <c r="G39" s="262" t="s">
        <v>161</v>
      </c>
      <c r="H39" s="262"/>
    </row>
    <row r="40" spans="1:8" ht="15.75" x14ac:dyDescent="0.25">
      <c r="A40" s="73"/>
      <c r="B40" s="73" t="str">
        <f>"Estimated Total EAV for "&amp;C9&amp;" "</f>
        <v xml:space="preserve">Estimated Total EAV for 2024 </v>
      </c>
      <c r="C40" s="90">
        <f>IF($C$19="Yes",C30*(1+C34)+C38,IF($C$32="No",C30*(1+C34),C36))</f>
        <v>0</v>
      </c>
      <c r="D40" s="74" t="s">
        <v>36</v>
      </c>
      <c r="E40" s="71"/>
      <c r="F40" s="71"/>
      <c r="G40" s="262" t="s">
        <v>162</v>
      </c>
      <c r="H40" s="262"/>
    </row>
    <row r="41" spans="1:8" ht="15.75" x14ac:dyDescent="0.25">
      <c r="A41" s="73"/>
      <c r="B41" s="73" t="s">
        <v>47</v>
      </c>
      <c r="C41" s="88" t="e">
        <f>C40/C30-1</f>
        <v>#DIV/0!</v>
      </c>
      <c r="D41" s="74" t="s">
        <v>36</v>
      </c>
      <c r="E41" s="71"/>
      <c r="F41" s="71"/>
      <c r="G41" s="262" t="s">
        <v>163</v>
      </c>
      <c r="H41" s="262"/>
    </row>
    <row r="42" spans="1:8" ht="13.5" thickBot="1" x14ac:dyDescent="0.25">
      <c r="A42" s="71"/>
      <c r="B42" s="71"/>
      <c r="C42" s="71"/>
      <c r="D42" s="71"/>
      <c r="E42" s="71"/>
      <c r="F42" s="71"/>
      <c r="G42" s="71"/>
      <c r="H42" s="71"/>
    </row>
    <row r="43" spans="1:8" ht="15.75" hidden="1" x14ac:dyDescent="0.25">
      <c r="A43" s="73"/>
      <c r="B43" s="77" t="s">
        <v>48</v>
      </c>
      <c r="C43" s="65"/>
      <c r="D43" s="74" t="s">
        <v>64</v>
      </c>
      <c r="E43" s="71"/>
      <c r="F43" s="71"/>
      <c r="G43" s="71"/>
      <c r="H43" s="71"/>
    </row>
    <row r="44" spans="1:8" ht="13.5" hidden="1" thickBot="1" x14ac:dyDescent="0.25">
      <c r="A44" s="72"/>
      <c r="B44" s="72"/>
      <c r="C44" s="71"/>
      <c r="D44" s="71"/>
      <c r="E44" s="71"/>
      <c r="F44" s="71"/>
      <c r="G44" s="71"/>
      <c r="H44" s="71"/>
    </row>
    <row r="45" spans="1:8" x14ac:dyDescent="0.2">
      <c r="A45" s="72"/>
      <c r="B45" s="72"/>
      <c r="C45" s="72"/>
      <c r="D45" s="71"/>
      <c r="E45" s="248" t="s">
        <v>103</v>
      </c>
      <c r="F45" s="249"/>
      <c r="G45" s="250"/>
      <c r="H45" s="71"/>
    </row>
    <row r="46" spans="1:8" x14ac:dyDescent="0.2">
      <c r="A46" s="72"/>
      <c r="B46" s="72"/>
      <c r="C46" s="72"/>
      <c r="D46" s="71"/>
      <c r="E46" s="251"/>
      <c r="F46" s="252"/>
      <c r="G46" s="253"/>
      <c r="H46" s="71"/>
    </row>
    <row r="47" spans="1:8" ht="13.5" thickBot="1" x14ac:dyDescent="0.25">
      <c r="A47" s="72"/>
      <c r="B47" s="72"/>
      <c r="C47" s="72"/>
      <c r="D47" s="71"/>
      <c r="E47" s="254"/>
      <c r="F47" s="255"/>
      <c r="G47" s="256"/>
      <c r="H47" s="71"/>
    </row>
    <row r="48" spans="1:8" x14ac:dyDescent="0.2">
      <c r="A48" s="72"/>
      <c r="B48" s="72"/>
      <c r="C48" s="72"/>
      <c r="D48" s="71"/>
      <c r="E48" s="131"/>
      <c r="F48" s="131"/>
      <c r="G48" s="131"/>
      <c r="H48" s="71"/>
    </row>
    <row r="49" spans="1:8" ht="38.25" x14ac:dyDescent="0.2">
      <c r="A49" s="72"/>
      <c r="B49" s="72"/>
      <c r="C49" s="97" t="s">
        <v>81</v>
      </c>
      <c r="D49" s="97" t="str">
        <f>"Total "&amp;C9-1&amp;" Extension for all Counties"</f>
        <v>Total 2023 Extension for all Counties</v>
      </c>
      <c r="E49" s="97" t="str">
        <f>"Input "&amp;C9-1&amp;" "&amp;C13&amp;" County Extension"</f>
        <v>Input 2023  County Extension</v>
      </c>
      <c r="F49" s="97" t="str">
        <f>IF(C14="","","Input "&amp;C9-1&amp;" "&amp;C14&amp;" County Extension:")</f>
        <v/>
      </c>
      <c r="G49" s="97" t="str">
        <f>IF(C15="","","Input "&amp;C9-1&amp;" "&amp;C15&amp;" County Extension:")</f>
        <v/>
      </c>
      <c r="H49" s="97" t="str">
        <f>IF(C16="","","Input "&amp;C9-1&amp;" "&amp;C16&amp;" County Extension:")</f>
        <v/>
      </c>
    </row>
    <row r="50" spans="1:8" ht="15.75" x14ac:dyDescent="0.25">
      <c r="A50" s="103" t="str">
        <f>IF($C$19="Yes","N/A"," ")</f>
        <v>N/A</v>
      </c>
      <c r="B50" s="73" t="s">
        <v>137</v>
      </c>
      <c r="C50" s="128"/>
      <c r="D50" s="59">
        <f>SUM(E50:H50)</f>
        <v>0</v>
      </c>
      <c r="E50" s="179"/>
      <c r="F50" s="67"/>
      <c r="G50" s="67"/>
      <c r="H50" s="67"/>
    </row>
    <row r="51" spans="1:8" ht="15.75" x14ac:dyDescent="0.25">
      <c r="A51" s="73"/>
      <c r="B51" s="73" t="s">
        <v>138</v>
      </c>
      <c r="C51" s="128"/>
      <c r="D51" s="59">
        <f t="shared" ref="D51:D66" si="0">SUM(E51:H51)</f>
        <v>0</v>
      </c>
      <c r="E51" s="179"/>
      <c r="F51" s="67"/>
      <c r="G51" s="67"/>
      <c r="H51" s="67"/>
    </row>
    <row r="52" spans="1:8" ht="15.75" x14ac:dyDescent="0.25">
      <c r="A52" s="103" t="str">
        <f>IF($C$19="Yes","N/A"," ")</f>
        <v>N/A</v>
      </c>
      <c r="B52" s="73" t="s">
        <v>139</v>
      </c>
      <c r="C52" s="128"/>
      <c r="D52" s="59">
        <f t="shared" si="0"/>
        <v>0</v>
      </c>
      <c r="E52" s="179"/>
      <c r="F52" s="67"/>
      <c r="G52" s="67"/>
      <c r="H52" s="67"/>
    </row>
    <row r="53" spans="1:8" ht="15.75" x14ac:dyDescent="0.25">
      <c r="A53" s="73"/>
      <c r="B53" s="73" t="s">
        <v>140</v>
      </c>
      <c r="C53" s="128"/>
      <c r="D53" s="59">
        <f t="shared" si="0"/>
        <v>0</v>
      </c>
      <c r="E53" s="179"/>
      <c r="F53" s="67"/>
      <c r="G53" s="67"/>
      <c r="H53" s="67"/>
    </row>
    <row r="54" spans="1:8" ht="15.75" x14ac:dyDescent="0.25">
      <c r="A54" s="73"/>
      <c r="B54" s="73" t="s">
        <v>50</v>
      </c>
      <c r="C54" s="129"/>
      <c r="D54" s="59">
        <f t="shared" si="0"/>
        <v>0</v>
      </c>
      <c r="E54" s="179"/>
      <c r="F54" s="67"/>
      <c r="G54" s="67"/>
      <c r="H54" s="67"/>
    </row>
    <row r="55" spans="1:8" ht="15.75" x14ac:dyDescent="0.25">
      <c r="A55" s="73"/>
      <c r="B55" s="73" t="s">
        <v>141</v>
      </c>
      <c r="C55" s="129"/>
      <c r="D55" s="59">
        <f t="shared" si="0"/>
        <v>0</v>
      </c>
      <c r="E55" s="179"/>
      <c r="F55" s="67"/>
      <c r="G55" s="67"/>
      <c r="H55" s="67"/>
    </row>
    <row r="56" spans="1:8" ht="15.75" x14ac:dyDescent="0.25">
      <c r="A56" s="73"/>
      <c r="B56" s="73" t="s">
        <v>142</v>
      </c>
      <c r="C56" s="129"/>
      <c r="D56" s="59">
        <f t="shared" si="0"/>
        <v>0</v>
      </c>
      <c r="E56" s="179"/>
      <c r="F56" s="67"/>
      <c r="G56" s="67"/>
      <c r="H56" s="67"/>
    </row>
    <row r="57" spans="1:8" ht="15.75" x14ac:dyDescent="0.25">
      <c r="A57" s="73"/>
      <c r="B57" s="73" t="s">
        <v>51</v>
      </c>
      <c r="C57" s="129"/>
      <c r="D57" s="59">
        <f t="shared" si="0"/>
        <v>0</v>
      </c>
      <c r="E57" s="179"/>
      <c r="F57" s="67"/>
      <c r="G57" s="67"/>
      <c r="H57" s="67"/>
    </row>
    <row r="58" spans="1:8" ht="15.75" x14ac:dyDescent="0.25">
      <c r="A58" s="73"/>
      <c r="B58" s="73" t="s">
        <v>143</v>
      </c>
      <c r="C58" s="128"/>
      <c r="D58" s="59">
        <f t="shared" si="0"/>
        <v>0</v>
      </c>
      <c r="E58" s="179"/>
      <c r="F58" s="67"/>
      <c r="G58" s="67"/>
      <c r="H58" s="67"/>
    </row>
    <row r="59" spans="1:8" ht="15.75" x14ac:dyDescent="0.25">
      <c r="A59" s="73"/>
      <c r="B59" s="73" t="s">
        <v>145</v>
      </c>
      <c r="C59" s="129"/>
      <c r="D59" s="59">
        <f t="shared" si="0"/>
        <v>0</v>
      </c>
      <c r="E59" s="179"/>
      <c r="F59" s="67"/>
      <c r="G59" s="67"/>
      <c r="H59" s="67"/>
    </row>
    <row r="60" spans="1:8" ht="15.75" x14ac:dyDescent="0.25">
      <c r="A60" s="73"/>
      <c r="B60" s="73" t="s">
        <v>144</v>
      </c>
      <c r="C60" s="128"/>
      <c r="D60" s="59">
        <f t="shared" si="0"/>
        <v>0</v>
      </c>
      <c r="E60" s="179"/>
      <c r="F60" s="67"/>
      <c r="G60" s="67"/>
      <c r="H60" s="67"/>
    </row>
    <row r="61" spans="1:8" ht="15.75" x14ac:dyDescent="0.25">
      <c r="A61" s="73"/>
      <c r="B61" s="73" t="s">
        <v>146</v>
      </c>
      <c r="C61" s="128"/>
      <c r="D61" s="59">
        <f t="shared" si="0"/>
        <v>0</v>
      </c>
      <c r="E61" s="179"/>
      <c r="F61" s="67"/>
      <c r="G61" s="67"/>
      <c r="H61" s="67"/>
    </row>
    <row r="62" spans="1:8" ht="15.75" x14ac:dyDescent="0.25">
      <c r="A62" s="73"/>
      <c r="B62" s="73" t="s">
        <v>110</v>
      </c>
      <c r="C62" s="128"/>
      <c r="D62" s="59">
        <f t="shared" si="0"/>
        <v>0</v>
      </c>
      <c r="E62" s="179"/>
      <c r="F62" s="67"/>
      <c r="G62" s="67"/>
      <c r="H62" s="67"/>
    </row>
    <row r="63" spans="1:8" ht="15.75" x14ac:dyDescent="0.25">
      <c r="A63" s="73"/>
      <c r="B63" s="73" t="s">
        <v>180</v>
      </c>
      <c r="C63" s="128"/>
      <c r="D63" s="59">
        <f t="shared" si="0"/>
        <v>0</v>
      </c>
      <c r="E63" s="179"/>
      <c r="F63" s="67"/>
      <c r="G63" s="67"/>
      <c r="H63" s="67"/>
    </row>
    <row r="64" spans="1:8" ht="15.75" x14ac:dyDescent="0.25">
      <c r="A64" s="77" t="s">
        <v>52</v>
      </c>
      <c r="B64" s="66" t="s">
        <v>148</v>
      </c>
      <c r="C64" s="128"/>
      <c r="D64" s="59">
        <f t="shared" si="0"/>
        <v>0</v>
      </c>
      <c r="E64" s="179"/>
      <c r="F64" s="67"/>
      <c r="G64" s="67"/>
      <c r="H64" s="67"/>
    </row>
    <row r="65" spans="1:8" ht="15.75" x14ac:dyDescent="0.25">
      <c r="A65" s="77" t="s">
        <v>52</v>
      </c>
      <c r="B65" s="66" t="s">
        <v>147</v>
      </c>
      <c r="C65" s="128"/>
      <c r="D65" s="59">
        <f t="shared" si="0"/>
        <v>0</v>
      </c>
      <c r="E65" s="179"/>
      <c r="F65" s="67"/>
      <c r="G65" s="67"/>
      <c r="H65" s="67"/>
    </row>
    <row r="66" spans="1:8" ht="15.75" x14ac:dyDescent="0.25">
      <c r="A66" s="77" t="s">
        <v>52</v>
      </c>
      <c r="B66" s="66" t="s">
        <v>149</v>
      </c>
      <c r="C66" s="128"/>
      <c r="D66" s="59">
        <f t="shared" si="0"/>
        <v>0</v>
      </c>
      <c r="E66" s="179"/>
      <c r="F66" s="67"/>
      <c r="G66" s="67"/>
      <c r="H66" s="67"/>
    </row>
    <row r="67" spans="1:8" ht="15.75" x14ac:dyDescent="0.25">
      <c r="A67" s="73"/>
      <c r="B67" s="78"/>
      <c r="C67" s="73"/>
      <c r="D67" s="79"/>
      <c r="E67" s="72"/>
      <c r="F67" s="72"/>
      <c r="G67" s="72"/>
      <c r="H67" s="72"/>
    </row>
    <row r="68" spans="1:8" ht="15.75" x14ac:dyDescent="0.25">
      <c r="A68" s="71"/>
      <c r="B68" s="71"/>
      <c r="C68" s="73" t="str">
        <f>IF(C19="Yes","Total Capped Extension for "&amp;C9-1&amp;" ","Total Aggregate Extension for "&amp;C9-1&amp;" ")</f>
        <v xml:space="preserve">Total Capped Extension for 2023 </v>
      </c>
      <c r="D68" s="130">
        <f>SUM(D50:D66)</f>
        <v>0</v>
      </c>
      <c r="E68" s="130">
        <f>SUM(E50:E66)</f>
        <v>0</v>
      </c>
      <c r="F68" s="62" t="str">
        <f>IF(F50&gt;0,SUM(F50:F66),"")</f>
        <v/>
      </c>
      <c r="G68" s="62" t="str">
        <f>IF(G50&gt;0,SUM(G50:G66),"")</f>
        <v/>
      </c>
      <c r="H68" s="62" t="str">
        <f>IF(H50&gt;0,SUM(H50:H66),"")</f>
        <v/>
      </c>
    </row>
    <row r="69" spans="1:8" x14ac:dyDescent="0.2">
      <c r="A69" s="71"/>
      <c r="B69" s="71"/>
      <c r="C69" s="71"/>
      <c r="D69" s="71"/>
      <c r="E69" s="71"/>
      <c r="F69" s="71"/>
      <c r="G69" s="71"/>
      <c r="H69" s="71"/>
    </row>
    <row r="70" spans="1:8" ht="15.75" x14ac:dyDescent="0.25">
      <c r="A70" s="71"/>
      <c r="B70" s="73" t="s">
        <v>98</v>
      </c>
      <c r="C70" s="177">
        <v>0.04</v>
      </c>
      <c r="D70" s="130">
        <f t="shared" ref="D70:D72" si="1">SUM(E70:H70)</f>
        <v>0</v>
      </c>
      <c r="E70" s="179"/>
      <c r="F70" s="67"/>
      <c r="G70" s="67"/>
      <c r="H70" s="67"/>
    </row>
    <row r="71" spans="1:8" ht="15.75" hidden="1" x14ac:dyDescent="0.25">
      <c r="A71" s="71"/>
      <c r="B71" s="73" t="s">
        <v>110</v>
      </c>
      <c r="C71" s="178"/>
      <c r="D71" s="130">
        <f t="shared" si="1"/>
        <v>0</v>
      </c>
      <c r="E71" s="187"/>
      <c r="F71" s="188"/>
      <c r="G71" s="188"/>
      <c r="H71" s="188"/>
    </row>
    <row r="72" spans="1:8" ht="15.75" hidden="1" x14ac:dyDescent="0.25">
      <c r="A72" s="71"/>
      <c r="B72" s="73" t="s">
        <v>150</v>
      </c>
      <c r="C72" s="177">
        <v>2.5000000000000001E-2</v>
      </c>
      <c r="D72" s="130">
        <f t="shared" si="1"/>
        <v>0</v>
      </c>
      <c r="E72" s="67"/>
      <c r="F72" s="67"/>
      <c r="G72" s="67"/>
      <c r="H72" s="67"/>
    </row>
    <row r="73" spans="1:8" ht="15.75" x14ac:dyDescent="0.25">
      <c r="A73" s="71"/>
      <c r="B73" s="71"/>
      <c r="C73" s="73"/>
      <c r="D73" s="71"/>
      <c r="E73" s="71"/>
      <c r="F73" s="71"/>
      <c r="G73" s="71"/>
      <c r="H73" s="71"/>
    </row>
    <row r="74" spans="1:8" ht="15.75" x14ac:dyDescent="0.25">
      <c r="A74" s="71"/>
      <c r="B74" s="71"/>
      <c r="C74" s="73" t="str">
        <f>"Bond and Interest Extension for "&amp;C9-1&amp;" "</f>
        <v xml:space="preserve">Bond and Interest Extension for 2023 </v>
      </c>
      <c r="D74" s="60"/>
      <c r="E74" s="71"/>
      <c r="F74" s="71"/>
      <c r="G74" s="71"/>
      <c r="H74" s="71"/>
    </row>
    <row r="75" spans="1:8" ht="15.75" x14ac:dyDescent="0.25">
      <c r="A75" s="73"/>
      <c r="B75" s="73"/>
      <c r="C75" s="73"/>
      <c r="D75" s="80"/>
      <c r="E75" s="71"/>
      <c r="F75" s="71"/>
      <c r="G75" s="71"/>
      <c r="H75" s="71"/>
    </row>
    <row r="76" spans="1:8" ht="15.75" x14ac:dyDescent="0.25">
      <c r="A76" s="73"/>
      <c r="B76" s="73"/>
      <c r="C76" s="73" t="str">
        <f>"Total "&amp;C9-1&amp;" Extension "</f>
        <v xml:space="preserve">Total 2023 Extension </v>
      </c>
      <c r="D76" s="130">
        <f>D68+D74+D70+D71</f>
        <v>0</v>
      </c>
      <c r="E76" s="74" t="s">
        <v>28</v>
      </c>
      <c r="F76" s="74"/>
      <c r="G76" s="74"/>
      <c r="H76" s="74"/>
    </row>
    <row r="77" spans="1:8" ht="15.75" x14ac:dyDescent="0.25">
      <c r="A77" s="72"/>
      <c r="B77" s="72"/>
      <c r="C77" s="73"/>
      <c r="D77" s="71"/>
      <c r="E77" s="74"/>
      <c r="F77" s="74"/>
      <c r="G77" s="74"/>
      <c r="H77" s="74"/>
    </row>
    <row r="78" spans="1:8" hidden="1" x14ac:dyDescent="0.2">
      <c r="A78" s="81"/>
      <c r="B78" s="72"/>
      <c r="C78" s="71"/>
      <c r="D78" s="71"/>
      <c r="E78" s="71"/>
      <c r="F78" s="71"/>
      <c r="G78" s="71"/>
      <c r="H78" s="71"/>
    </row>
    <row r="79" spans="1:8" hidden="1" x14ac:dyDescent="0.2">
      <c r="A79" s="81"/>
      <c r="B79" s="72"/>
      <c r="C79" s="71"/>
      <c r="D79" s="71"/>
      <c r="E79" s="71"/>
      <c r="F79" s="71"/>
      <c r="G79" s="71"/>
      <c r="H79" s="71"/>
    </row>
    <row r="80" spans="1:8" hidden="1" x14ac:dyDescent="0.2">
      <c r="A80" s="72"/>
      <c r="B80" s="72"/>
      <c r="C80" s="72"/>
      <c r="D80" s="71"/>
      <c r="E80" s="71"/>
      <c r="F80" s="71"/>
      <c r="G80" s="71"/>
      <c r="H80" s="71"/>
    </row>
    <row r="81" spans="2:6" hidden="1" x14ac:dyDescent="0.2">
      <c r="B81" s="72"/>
      <c r="C81" s="72"/>
      <c r="D81" s="71"/>
      <c r="E81" s="71"/>
      <c r="F81" s="71"/>
    </row>
    <row r="82" spans="2:6" hidden="1" x14ac:dyDescent="0.2">
      <c r="B82" s="72"/>
      <c r="C82" s="72"/>
      <c r="D82" s="71"/>
      <c r="E82" s="71"/>
      <c r="F82" s="71"/>
    </row>
  </sheetData>
  <sheetProtection algorithmName="SHA-512" hashValue="DVYAcnlCAkfDv5aes2uQUfls0gGYjQRXznrQF6hLGbWzVzMZWRlFGXoVCMi1rZytrkoK172MHzUp9mbPfaqQ7Q==" saltValue="y31/w6GQJ98rw8Kjq1YqdA==" spinCount="100000" sheet="1" objects="1" scenarios="1"/>
  <mergeCells count="8">
    <mergeCell ref="E19:G21"/>
    <mergeCell ref="E45:G47"/>
    <mergeCell ref="E23:F24"/>
    <mergeCell ref="G37:H37"/>
    <mergeCell ref="G38:H38"/>
    <mergeCell ref="G39:H39"/>
    <mergeCell ref="G40:H40"/>
    <mergeCell ref="G41:H41"/>
  </mergeCells>
  <phoneticPr fontId="3" type="noConversion"/>
  <conditionalFormatting sqref="A21 A28:B29 D28:D29">
    <cfRule type="expression" dxfId="153" priority="44" stopIfTrue="1">
      <formula>$C$19="No"</formula>
    </cfRule>
  </conditionalFormatting>
  <conditionalFormatting sqref="A36:C36">
    <cfRule type="expression" dxfId="152" priority="9">
      <formula>$C$32="No"</formula>
    </cfRule>
  </conditionalFormatting>
  <conditionalFormatting sqref="A34:D34">
    <cfRule type="expression" dxfId="151" priority="7">
      <formula>$C$32="Yes"</formula>
    </cfRule>
  </conditionalFormatting>
  <conditionalFormatting sqref="A36:D36">
    <cfRule type="expression" dxfId="150" priority="8">
      <formula>$C$19="Yes"</formula>
    </cfRule>
  </conditionalFormatting>
  <conditionalFormatting sqref="A38:D38">
    <cfRule type="expression" dxfId="149" priority="6" stopIfTrue="1">
      <formula>$C$19="No"</formula>
    </cfRule>
  </conditionalFormatting>
  <conditionalFormatting sqref="B32:D32">
    <cfRule type="expression" dxfId="148" priority="10">
      <formula>$C$19="Yes"</formula>
    </cfRule>
  </conditionalFormatting>
  <conditionalFormatting sqref="C28">
    <cfRule type="expression" dxfId="147" priority="45" stopIfTrue="1">
      <formula>$C$19="No"</formula>
    </cfRule>
  </conditionalFormatting>
  <conditionalFormatting sqref="D40:D41">
    <cfRule type="expression" dxfId="146" priority="1">
      <formula>$C$19="No"</formula>
    </cfRule>
  </conditionalFormatting>
  <conditionalFormatting sqref="F50">
    <cfRule type="expression" dxfId="145" priority="50" stopIfTrue="1">
      <formula>$C$14=""</formula>
    </cfRule>
  </conditionalFormatting>
  <conditionalFormatting sqref="F51:F66">
    <cfRule type="expression" dxfId="144" priority="47" stopIfTrue="1">
      <formula>$C$14=""</formula>
    </cfRule>
  </conditionalFormatting>
  <conditionalFormatting sqref="F70:F72">
    <cfRule type="expression" dxfId="143" priority="11" stopIfTrue="1">
      <formula>$C$14=""</formula>
    </cfRule>
  </conditionalFormatting>
  <conditionalFormatting sqref="F49:H49">
    <cfRule type="expression" dxfId="142" priority="46" stopIfTrue="1">
      <formula>$C$14=""</formula>
    </cfRule>
  </conditionalFormatting>
  <conditionalFormatting sqref="F68:H68">
    <cfRule type="expression" dxfId="141" priority="14">
      <formula>$C$14=""</formula>
    </cfRule>
  </conditionalFormatting>
  <conditionalFormatting sqref="G50:G66">
    <cfRule type="expression" dxfId="140" priority="48" stopIfTrue="1">
      <formula>$C$15=""</formula>
    </cfRule>
  </conditionalFormatting>
  <conditionalFormatting sqref="G70:G72">
    <cfRule type="expression" dxfId="139" priority="12" stopIfTrue="1">
      <formula>$C$15=""</formula>
    </cfRule>
  </conditionalFormatting>
  <conditionalFormatting sqref="G37:H41">
    <cfRule type="expression" dxfId="138" priority="2" stopIfTrue="1">
      <formula>$C$13="Cook"</formula>
    </cfRule>
    <cfRule type="expression" dxfId="137" priority="3" stopIfTrue="1">
      <formula>$C$14="Cook"</formula>
    </cfRule>
    <cfRule type="expression" dxfId="136" priority="4" stopIfTrue="1">
      <formula>$C$15="Cook"</formula>
    </cfRule>
    <cfRule type="expression" dxfId="135" priority="5" stopIfTrue="1">
      <formula>$C$16="Cook"</formula>
    </cfRule>
  </conditionalFormatting>
  <conditionalFormatting sqref="H50:H66">
    <cfRule type="expression" dxfId="134" priority="49" stopIfTrue="1">
      <formula>$C$16=""</formula>
    </cfRule>
  </conditionalFormatting>
  <conditionalFormatting sqref="H70:H72">
    <cfRule type="expression" dxfId="133" priority="13" stopIfTrue="1">
      <formula>$C$16=""</formula>
    </cfRule>
  </conditionalFormatting>
  <dataValidations count="3">
    <dataValidation type="list" showInputMessage="1" showErrorMessage="1" error="Please input only Yes or No" prompt="Is the District subject to PTELL - Tax Cap?" sqref="C19" xr:uid="{00000000-0002-0000-0200-000000000000}">
      <formula1>$AB$7:$AB$8</formula1>
    </dataValidation>
    <dataValidation type="list" showInputMessage="1" showErrorMessage="1" error="Please input only Yes or No" prompt="This determines individual fund maximums on the Calculations and Extension tabs" sqref="C21" xr:uid="{00000000-0002-0000-0200-000001000000}">
      <formula1>$AB$7:$AB$8</formula1>
    </dataValidation>
    <dataValidation type="list" showInputMessage="1" showErrorMessage="1" error="Please input only Yes or No" sqref="C32" xr:uid="{61BC4E8D-6036-46AB-B40B-0E148E92FDDC}">
      <formula1>$AB$7:$AB$8</formula1>
    </dataValidation>
  </dataValidations>
  <hyperlinks>
    <hyperlink ref="B5" r:id="rId1" xr:uid="{D1E3634E-53DC-49D6-8A98-0B23C0A9D701}"/>
    <hyperlink ref="B4" r:id="rId2" xr:uid="{A94F84C0-EF8D-411F-92C6-AFA370299AB9}"/>
  </hyperlinks>
  <pageMargins left="0.5" right="0.5" top="0.5" bottom="0.5" header="0.5" footer="0.5"/>
  <pageSetup scale="79" orientation="portrait" r:id="rId3"/>
  <headerFooter alignWithMargins="0"/>
  <ignoredErrors>
    <ignoredError sqref="A52 F68:H68" unlockedFormula="1"/>
    <ignoredError sqref="C41" evalError="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tabColor rgb="FF00B0F0"/>
    <pageSetUpPr fitToPage="1"/>
  </sheetPr>
  <dimension ref="A1:L47"/>
  <sheetViews>
    <sheetView showGridLines="0" zoomScaleNormal="100" workbookViewId="0">
      <selection activeCell="H6" sqref="H6"/>
    </sheetView>
  </sheetViews>
  <sheetFormatPr defaultColWidth="0" defaultRowHeight="12.75" zeroHeight="1" x14ac:dyDescent="0.2"/>
  <cols>
    <col min="1" max="1" width="31.5703125" style="1" customWidth="1"/>
    <col min="2" max="2" width="18.28515625" style="1" customWidth="1"/>
    <col min="3" max="3" width="17.28515625" style="1" customWidth="1"/>
    <col min="4" max="4" width="23" style="1" bestFit="1" customWidth="1"/>
    <col min="5" max="5" width="1.5703125" style="1" customWidth="1"/>
    <col min="6" max="6" width="21.7109375" style="1" customWidth="1"/>
    <col min="7" max="7" width="19.140625" style="1" customWidth="1"/>
    <col min="8" max="8" width="19" style="1" customWidth="1"/>
    <col min="9" max="9" width="2.85546875" style="1" customWidth="1"/>
    <col min="10" max="10" width="19" style="1" customWidth="1"/>
    <col min="11" max="12" width="11.7109375" style="1" customWidth="1"/>
    <col min="13" max="13" width="0.85546875" style="1" customWidth="1"/>
    <col min="14" max="16384" width="0" style="1" hidden="1"/>
  </cols>
  <sheetData>
    <row r="1" spans="1:12" ht="15.75" customHeight="1" thickBot="1" x14ac:dyDescent="0.3">
      <c r="H1" s="49" t="s">
        <v>33</v>
      </c>
      <c r="J1" s="282" t="s">
        <v>32</v>
      </c>
      <c r="K1" s="282"/>
      <c r="L1" s="282"/>
    </row>
    <row r="2" spans="1:12" ht="15.75" customHeight="1" x14ac:dyDescent="0.3">
      <c r="A2" s="265" t="str">
        <f>Input!$C$9&amp;" LEVY CALCULATION PAGE "</f>
        <v xml:space="preserve">2024 LEVY CALCULATION PAGE </v>
      </c>
      <c r="B2" s="265"/>
      <c r="F2" s="2"/>
      <c r="G2" s="2" t="s">
        <v>46</v>
      </c>
      <c r="H2" s="89">
        <f>Input!$C$28</f>
        <v>3.4000000000000002E-2</v>
      </c>
      <c r="J2" s="272" t="s">
        <v>30</v>
      </c>
      <c r="K2" s="273"/>
      <c r="L2" s="274"/>
    </row>
    <row r="3" spans="1:12" ht="15.75" customHeight="1" x14ac:dyDescent="0.25">
      <c r="F3" s="48"/>
      <c r="G3" s="2" t="str">
        <f>"Actual Total EAV for "&amp;Input!C9-1&amp;" "</f>
        <v xml:space="preserve">Actual Total EAV for 2023 </v>
      </c>
      <c r="H3" s="53">
        <f>Input!$C$30</f>
        <v>0</v>
      </c>
      <c r="J3" s="275" t="s">
        <v>31</v>
      </c>
      <c r="K3" s="276"/>
      <c r="L3" s="277"/>
    </row>
    <row r="4" spans="1:12" ht="16.5" thickBot="1" x14ac:dyDescent="0.3">
      <c r="F4" s="2"/>
      <c r="I4" s="50"/>
      <c r="J4" s="278" t="s">
        <v>35</v>
      </c>
      <c r="K4" s="279"/>
      <c r="L4" s="280"/>
    </row>
    <row r="5" spans="1:12" ht="15.75" customHeight="1" x14ac:dyDescent="0.25">
      <c r="A5" s="271" t="s">
        <v>5</v>
      </c>
      <c r="B5" s="266" t="s">
        <v>7</v>
      </c>
      <c r="C5" s="266"/>
      <c r="D5" s="266"/>
      <c r="F5" s="2"/>
      <c r="G5" s="2" t="str">
        <f>"Estimated Existing EAV % change for "&amp;Input!C9&amp;" "</f>
        <v xml:space="preserve">Estimated Existing EAV % change for 2024 </v>
      </c>
      <c r="H5" s="89">
        <f>IF(Input!$C$19="Yes",Input!$C$34,Input!$C$41)</f>
        <v>0</v>
      </c>
      <c r="I5" s="50"/>
    </row>
    <row r="6" spans="1:12" ht="15.75" customHeight="1" x14ac:dyDescent="0.25">
      <c r="A6" s="271"/>
      <c r="B6" s="267" t="s">
        <v>29</v>
      </c>
      <c r="C6" s="267"/>
      <c r="D6" s="267"/>
      <c r="F6" s="2"/>
      <c r="G6" s="2" t="str">
        <f>"Estimated Existing EAV Value for "&amp;Input!C9&amp;" "</f>
        <v xml:space="preserve">Estimated Existing EAV Value for 2024 </v>
      </c>
      <c r="H6" s="53">
        <f>H3*(1+H5)</f>
        <v>0</v>
      </c>
      <c r="I6" s="50"/>
    </row>
    <row r="7" spans="1:12" ht="15.75" customHeight="1" x14ac:dyDescent="0.2">
      <c r="F7" s="48"/>
      <c r="G7" s="48"/>
    </row>
    <row r="8" spans="1:12" ht="15.75" x14ac:dyDescent="0.25">
      <c r="F8" s="2"/>
      <c r="G8" s="2" t="str">
        <f>"Estimated New Property for "&amp;[1]Input!C9&amp;" "</f>
        <v xml:space="preserve">Estimated New Property for 2024 </v>
      </c>
      <c r="H8" s="53">
        <f>IF(Input!$C$19="No",0,Input!$C$38)</f>
        <v>0</v>
      </c>
    </row>
    <row r="9" spans="1:12" ht="15.75" x14ac:dyDescent="0.25">
      <c r="A9" s="5" t="s">
        <v>54</v>
      </c>
      <c r="B9" s="93" t="e">
        <f>IF(Input!C19="Yes",Input!D68*(1+MIN(0.05,Input!$C$28))/(Input!$C$40-Input!C38)*100,"N/A")</f>
        <v>#DIV/0!</v>
      </c>
      <c r="C9" s="6"/>
    </row>
    <row r="10" spans="1:12" ht="15.75" x14ac:dyDescent="0.25">
      <c r="A10" s="5" t="s">
        <v>55</v>
      </c>
      <c r="B10" s="63" t="e">
        <f>IF(Input!C19="Yes",(B9*Input!C40)/100,"N/A")</f>
        <v>#DIV/0!</v>
      </c>
      <c r="C10" s="7"/>
      <c r="F10" s="2"/>
      <c r="G10" s="2" t="str">
        <f>"Estimated Total EAV for "&amp;Input!C9&amp;" "</f>
        <v xml:space="preserve">Estimated Total EAV for 2024 </v>
      </c>
      <c r="H10" s="90">
        <f>Input!$C$40</f>
        <v>0</v>
      </c>
      <c r="I10" s="50" t="s">
        <v>36</v>
      </c>
    </row>
    <row r="11" spans="1:12" ht="15.75" x14ac:dyDescent="0.25">
      <c r="F11" s="2"/>
      <c r="G11" s="2" t="str">
        <f>"Estimated Total EAV % change for "&amp;Input!C9&amp;" "</f>
        <v xml:space="preserve">Estimated Total EAV % change for 2024 </v>
      </c>
      <c r="H11" s="88" t="e">
        <f>Input!$C$41</f>
        <v>#DIV/0!</v>
      </c>
      <c r="I11" s="50" t="s">
        <v>36</v>
      </c>
    </row>
    <row r="12" spans="1:12" ht="12.75" customHeight="1" x14ac:dyDescent="0.2">
      <c r="F12" s="270" t="str">
        <f>IF(Input!C19="Yes","Weighted Extension Based on Prior Year Extension","Individual Fund Estimated Maximum Extension")</f>
        <v>Weighted Extension Based on Prior Year Extension</v>
      </c>
      <c r="G12" s="270" t="str">
        <f>IF(Input!C19="Yes","Levy Amount $","Levy Amount $")</f>
        <v>Levy Amount $</v>
      </c>
      <c r="H12" s="268" t="s">
        <v>95</v>
      </c>
    </row>
    <row r="13" spans="1:12" ht="36" customHeight="1" x14ac:dyDescent="0.2">
      <c r="B13" s="8" t="s">
        <v>53</v>
      </c>
      <c r="C13" s="8" t="s">
        <v>82</v>
      </c>
      <c r="D13" s="8" t="str">
        <f>IF(Input!$C$21="no","Individual Fund Estimated Maximum Extension","Individual Fund Estimated Maximum Extension using Prior Year EAV")</f>
        <v>Individual Fund Estimated Maximum Extension</v>
      </c>
      <c r="F13" s="269"/>
      <c r="G13" s="269"/>
      <c r="H13" s="269"/>
      <c r="J13" s="9" t="s">
        <v>96</v>
      </c>
      <c r="K13" s="270" t="s">
        <v>84</v>
      </c>
      <c r="L13" s="270"/>
    </row>
    <row r="14" spans="1:12" ht="15.75" x14ac:dyDescent="0.25">
      <c r="A14" s="73" t="str">
        <f>Input!B50</f>
        <v xml:space="preserve">Corporate </v>
      </c>
      <c r="B14" s="59">
        <f>Input!D50</f>
        <v>0</v>
      </c>
      <c r="C14" s="185">
        <f>Input!C50</f>
        <v>0</v>
      </c>
      <c r="D14" s="59">
        <f>IF(Input!$C$21="no",C14*Input!$C$40,C14*($H$3+$H$8))/100</f>
        <v>0</v>
      </c>
      <c r="F14" s="59" t="e">
        <f>IF(Input!$C$19="Yes",B14/$B$33*$B$10,D14)</f>
        <v>#DIV/0!</v>
      </c>
      <c r="G14" s="55"/>
      <c r="H14" s="64"/>
      <c r="J14" s="59" t="e">
        <f>ROUNDUP(IF(G14="",F14*(1+H14),G14*(1+H14)),0)</f>
        <v>#DIV/0!</v>
      </c>
      <c r="K14" s="263" t="str">
        <f>IF(Input!$C$19="Yes","",IF(J14&gt;=D14,"YES","NO"))</f>
        <v/>
      </c>
      <c r="L14" s="264"/>
    </row>
    <row r="15" spans="1:12" ht="15.75" x14ac:dyDescent="0.25">
      <c r="A15" s="73" t="str">
        <f>Input!B51</f>
        <v xml:space="preserve">Working Cash Funds </v>
      </c>
      <c r="B15" s="59">
        <f>Input!D51</f>
        <v>0</v>
      </c>
      <c r="C15" s="185">
        <f>Input!C51</f>
        <v>0</v>
      </c>
      <c r="D15" s="59">
        <f>IF(Input!$C$21="no",C15*Input!$C$40,C15*($H$3+$H$8))/100</f>
        <v>0</v>
      </c>
      <c r="F15" s="59" t="e">
        <f>IF(Input!$C$19="Yes",B15/$B$33*$B$10,D15)</f>
        <v>#DIV/0!</v>
      </c>
      <c r="G15" s="55"/>
      <c r="H15" s="64"/>
      <c r="J15" s="59" t="e">
        <f>ROUNDUP(IF(G15="",F15*(1+H15),G15*(1+H15)),0)</f>
        <v>#DIV/0!</v>
      </c>
      <c r="K15" s="263" t="str">
        <f>IF(Input!$C$19="Yes","",IF(J15&gt;=D15,"YES","NO"))</f>
        <v/>
      </c>
      <c r="L15" s="264"/>
    </row>
    <row r="16" spans="1:12" ht="15.75" x14ac:dyDescent="0.25">
      <c r="A16" s="73" t="str">
        <f>Input!B52</f>
        <v xml:space="preserve">Police Protection </v>
      </c>
      <c r="B16" s="59">
        <f>Input!D52</f>
        <v>0</v>
      </c>
      <c r="C16" s="185">
        <f>Input!C52</f>
        <v>0</v>
      </c>
      <c r="D16" s="59">
        <f>IF(Input!$C$21="no",C16*Input!$C$40,C16*($H$3+$H$8))/100</f>
        <v>0</v>
      </c>
      <c r="F16" s="59" t="e">
        <f>IF(Input!$C$19="Yes",B16/$B$33*$B$10,D16)</f>
        <v>#DIV/0!</v>
      </c>
      <c r="G16" s="55"/>
      <c r="H16" s="64"/>
      <c r="J16" s="59" t="e">
        <f>ROUNDUP(IF(G16="",F16*(1+H16),G16*(1+H16)),0)</f>
        <v>#DIV/0!</v>
      </c>
      <c r="K16" s="263" t="str">
        <f>IF(Input!$C$19="Yes","",IF(J16&gt;=D16,"YES","NO"))</f>
        <v/>
      </c>
      <c r="L16" s="264"/>
    </row>
    <row r="17" spans="1:12" ht="15.75" x14ac:dyDescent="0.25">
      <c r="A17" s="73" t="str">
        <f>Input!B53</f>
        <v xml:space="preserve">Auditing </v>
      </c>
      <c r="B17" s="59">
        <f>Input!D53</f>
        <v>0</v>
      </c>
      <c r="C17" s="185">
        <f>Input!C53</f>
        <v>0</v>
      </c>
      <c r="D17" s="59">
        <f>IF(Input!$C$21="no",C17*Input!$C$40,C17*($H$3+$H$8))/100</f>
        <v>0</v>
      </c>
      <c r="F17" s="59" t="e">
        <f>IF(Input!$C$19="Yes",B17/$B$33*$B$10,D17)</f>
        <v>#DIV/0!</v>
      </c>
      <c r="G17" s="55"/>
      <c r="H17" s="64"/>
      <c r="J17" s="59" t="e">
        <f>ROUNDUP(IF(G17="",F17*(1+H17),G17*(1+H17)),0)</f>
        <v>#DIV/0!</v>
      </c>
      <c r="K17" s="263" t="str">
        <f>IF(Input!$C$19="Yes","",IF(J17&gt;=D17,"YES","NO"))</f>
        <v/>
      </c>
      <c r="L17" s="264"/>
    </row>
    <row r="18" spans="1:12" ht="15.75" x14ac:dyDescent="0.25">
      <c r="A18" s="73" t="str">
        <f>Input!B54</f>
        <v xml:space="preserve">Municipal Retirement </v>
      </c>
      <c r="B18" s="59">
        <f>Input!D54</f>
        <v>0</v>
      </c>
      <c r="C18" s="185">
        <f>Input!C54</f>
        <v>0</v>
      </c>
      <c r="D18" s="186" t="str">
        <f>IF(Input!C19="Yes","$0.00 ","Input in Manual Override")</f>
        <v xml:space="preserve">$0.00 </v>
      </c>
      <c r="F18" s="59" t="e">
        <f>IF(Input!$C$19="Yes",B18/$B$33*$B$10,"Levy Amount $ Required")</f>
        <v>#DIV/0!</v>
      </c>
      <c r="G18" s="55"/>
      <c r="H18" s="64"/>
      <c r="J18" s="59" t="e">
        <f t="shared" ref="J18:J23" si="0">ROUND(IF(G18="",F18*(1+H18),G18*(1+H18)),0)</f>
        <v>#DIV/0!</v>
      </c>
      <c r="K18" s="263" t="str">
        <f>IF(Input!$C$19="Yes"," ","N/A")</f>
        <v xml:space="preserve"> </v>
      </c>
      <c r="L18" s="264"/>
    </row>
    <row r="19" spans="1:12" ht="15.75" x14ac:dyDescent="0.25">
      <c r="A19" s="73" t="str">
        <f>Input!B55</f>
        <v xml:space="preserve">Unemployment Insurance </v>
      </c>
      <c r="B19" s="59">
        <f>Input!D55</f>
        <v>0</v>
      </c>
      <c r="C19" s="185">
        <f>Input!C55</f>
        <v>0</v>
      </c>
      <c r="D19" s="186" t="str">
        <f>IF(Input!C20="Yes","$0.00 ","Input in Manual Override")</f>
        <v>Input in Manual Override</v>
      </c>
      <c r="F19" s="59" t="e">
        <f>IF(Input!$C$19="Yes",B19/$B$33*$B$10,"Levy Amount $ Required")</f>
        <v>#DIV/0!</v>
      </c>
      <c r="G19" s="55"/>
      <c r="H19" s="64"/>
      <c r="J19" s="59" t="e">
        <f t="shared" si="0"/>
        <v>#DIV/0!</v>
      </c>
      <c r="K19" s="263" t="str">
        <f>IF(Input!$C$19="Yes"," ","N/A")</f>
        <v xml:space="preserve"> </v>
      </c>
      <c r="L19" s="264"/>
    </row>
    <row r="20" spans="1:12" ht="15.75" x14ac:dyDescent="0.25">
      <c r="A20" s="73" t="str">
        <f>Input!B56</f>
        <v xml:space="preserve">Workman's Compensation </v>
      </c>
      <c r="B20" s="59">
        <f>Input!D56</f>
        <v>0</v>
      </c>
      <c r="C20" s="185">
        <f>Input!C56</f>
        <v>0</v>
      </c>
      <c r="D20" s="186" t="str">
        <f>IF(Input!C21="Yes","$0.00 ","Input in Manual Override")</f>
        <v>Input in Manual Override</v>
      </c>
      <c r="F20" s="59" t="e">
        <f>IF(Input!$C$19="Yes",B20/$B$33*$B$10,"Levy Amount $ Required")</f>
        <v>#DIV/0!</v>
      </c>
      <c r="G20" s="55"/>
      <c r="H20" s="64"/>
      <c r="J20" s="59" t="e">
        <f t="shared" si="0"/>
        <v>#DIV/0!</v>
      </c>
      <c r="K20" s="263" t="str">
        <f>IF(Input!$C$19="Yes"," ","N/A")</f>
        <v xml:space="preserve"> </v>
      </c>
      <c r="L20" s="264"/>
    </row>
    <row r="21" spans="1:12" ht="15.75" x14ac:dyDescent="0.25">
      <c r="A21" s="73" t="str">
        <f>Input!B57</f>
        <v xml:space="preserve">Social Security </v>
      </c>
      <c r="B21" s="59">
        <f>Input!D57</f>
        <v>0</v>
      </c>
      <c r="C21" s="185">
        <f>Input!C57</f>
        <v>0</v>
      </c>
      <c r="D21" s="186" t="str">
        <f>IF(Input!C19="Yes","$0.00 ","Input in Manual Override")</f>
        <v xml:space="preserve">$0.00 </v>
      </c>
      <c r="F21" s="59" t="e">
        <f>IF(Input!$C$19="Yes",B21/$B$33*$B$10,"Levy Amount $ Required")</f>
        <v>#DIV/0!</v>
      </c>
      <c r="G21" s="55"/>
      <c r="H21" s="64"/>
      <c r="J21" s="59" t="e">
        <f t="shared" si="0"/>
        <v>#DIV/0!</v>
      </c>
      <c r="K21" s="263" t="str">
        <f>IF(Input!$C$19="Yes"," ","N/A")</f>
        <v xml:space="preserve"> </v>
      </c>
      <c r="L21" s="264"/>
    </row>
    <row r="22" spans="1:12" ht="15.75" x14ac:dyDescent="0.25">
      <c r="A22" s="73" t="str">
        <f>Input!B58</f>
        <v xml:space="preserve">Recreation </v>
      </c>
      <c r="B22" s="59">
        <f>Input!D58</f>
        <v>0</v>
      </c>
      <c r="C22" s="185">
        <f>Input!C58</f>
        <v>0</v>
      </c>
      <c r="D22" s="59">
        <f>IF(Input!$C$21="no",C22*Input!$C$40,C22*($H$3+$H$8))/100</f>
        <v>0</v>
      </c>
      <c r="F22" s="59" t="e">
        <f>IF(Input!$C$19="Yes",B22/$B$33*$B$10,D22)</f>
        <v>#DIV/0!</v>
      </c>
      <c r="G22" s="55"/>
      <c r="H22" s="64"/>
      <c r="J22" s="59" t="e">
        <f>ROUNDUP(IF(G22="",F22*(1+H22),G22*(1+H22)),0)</f>
        <v>#DIV/0!</v>
      </c>
      <c r="K22" s="263" t="str">
        <f>IF(Input!$C$19="Yes","",IF(J22&gt;=D22,"YES","NO"))</f>
        <v/>
      </c>
      <c r="L22" s="264"/>
    </row>
    <row r="23" spans="1:12" ht="15.75" x14ac:dyDescent="0.25">
      <c r="A23" s="73" t="str">
        <f>Input!B59</f>
        <v xml:space="preserve">Liability Insurance </v>
      </c>
      <c r="B23" s="59">
        <f>Input!D59</f>
        <v>0</v>
      </c>
      <c r="C23" s="185">
        <f>Input!C59</f>
        <v>0</v>
      </c>
      <c r="D23" s="186" t="str">
        <f>IF(Input!C19="Yes","$0.00 ","Input in Manual Override")</f>
        <v xml:space="preserve">$0.00 </v>
      </c>
      <c r="F23" s="59" t="e">
        <f>IF(Input!$C$19="Yes",B23/$B$33*$B$10,"Levy Amount $ Required")</f>
        <v>#DIV/0!</v>
      </c>
      <c r="G23" s="55"/>
      <c r="H23" s="64"/>
      <c r="J23" s="59" t="e">
        <f t="shared" si="0"/>
        <v>#DIV/0!</v>
      </c>
      <c r="K23" s="263" t="str">
        <f>IF(Input!$C$19="Yes"," ","N/A")</f>
        <v xml:space="preserve"> </v>
      </c>
      <c r="L23" s="264"/>
    </row>
    <row r="24" spans="1:12" ht="15.75" x14ac:dyDescent="0.25">
      <c r="A24" s="73" t="str">
        <f>Input!B60</f>
        <v xml:space="preserve">Paving/Lighting </v>
      </c>
      <c r="B24" s="59">
        <f>Input!D60</f>
        <v>0</v>
      </c>
      <c r="C24" s="185">
        <f>Input!C60</f>
        <v>0</v>
      </c>
      <c r="D24" s="59">
        <f>IF(Input!$C$21="no",C24*Input!$C$40,C24*($H$3+$H$8))/100</f>
        <v>0</v>
      </c>
      <c r="F24" s="59" t="e">
        <f>IF(Input!$C$19="Yes",B24/$B$33*$B$10,D24)</f>
        <v>#DIV/0!</v>
      </c>
      <c r="G24" s="55"/>
      <c r="H24" s="64"/>
      <c r="J24" s="59" t="e">
        <f>ROUNDUP(IF(G24="",F24*(1+H24),G24*(1+H24)),0)</f>
        <v>#DIV/0!</v>
      </c>
      <c r="K24" s="263" t="str">
        <f>IF(Input!$C$19="Yes","",IF(J24&gt;=D24,"YES","NO"))</f>
        <v/>
      </c>
      <c r="L24" s="264"/>
    </row>
    <row r="25" spans="1:12" ht="15.75" x14ac:dyDescent="0.25">
      <c r="A25" s="73" t="str">
        <f>Input!B61</f>
        <v xml:space="preserve">Public Benefit </v>
      </c>
      <c r="B25" s="59">
        <f>Input!D61</f>
        <v>0</v>
      </c>
      <c r="C25" s="185">
        <f>Input!C61</f>
        <v>0</v>
      </c>
      <c r="D25" s="59">
        <f>IF(Input!$C$21="no",C25*Input!$C$40,C25*($H$3+$H$8))/100</f>
        <v>0</v>
      </c>
      <c r="F25" s="59" t="e">
        <f>IF(Input!$C$19="Yes",B25/$B$33*$B$10,D25)</f>
        <v>#DIV/0!</v>
      </c>
      <c r="G25" s="55"/>
      <c r="H25" s="64"/>
      <c r="J25" s="59" t="e">
        <f>ROUNDUP(IF(G25="",F25*(1+H25),G25*(1+H25)),0)</f>
        <v>#DIV/0!</v>
      </c>
      <c r="K25" s="263" t="str">
        <f>IF(Input!$C$19="Yes","",IF(J25&gt;=D25,"YES","NO"))</f>
        <v/>
      </c>
      <c r="L25" s="264"/>
    </row>
    <row r="26" spans="1:12" ht="15.75" x14ac:dyDescent="0.25">
      <c r="A26" s="73" t="str">
        <f>Input!B62</f>
        <v>Museum</v>
      </c>
      <c r="B26" s="59">
        <f>Input!D62</f>
        <v>0</v>
      </c>
      <c r="C26" s="185">
        <f>Input!C62</f>
        <v>0</v>
      </c>
      <c r="D26" s="59">
        <f>IF(Input!$C$21="no",C26*Input!$C$40,C26*($H$3+$H$8))/100</f>
        <v>0</v>
      </c>
      <c r="F26" s="59" t="e">
        <f>IF(Input!$C$19="Yes",B26/$B$33*$B$10,D26)</f>
        <v>#DIV/0!</v>
      </c>
      <c r="G26" s="55"/>
      <c r="H26" s="64"/>
      <c r="J26" s="59" t="e">
        <f>ROUNDUP(IF(G26="",F26*(1+H26),G26*(1+H26)),0)</f>
        <v>#DIV/0!</v>
      </c>
      <c r="K26" s="263" t="str">
        <f>IF(Input!$C$19="Yes","",IF(J26&gt;=D26,"YES","NO"))</f>
        <v/>
      </c>
      <c r="L26" s="264"/>
    </row>
    <row r="27" spans="1:12" ht="15.75" x14ac:dyDescent="0.25">
      <c r="A27" s="73" t="str">
        <f>Input!B63</f>
        <v>Public Safety and Security</v>
      </c>
      <c r="B27" s="59">
        <f>Input!D63</f>
        <v>0</v>
      </c>
      <c r="C27" s="185">
        <f>Input!C63</f>
        <v>0</v>
      </c>
      <c r="D27" s="59">
        <f>IF(Input!$C$21="no",C27*Input!$C$40,C27*($H$3+$H$8))/100</f>
        <v>0</v>
      </c>
      <c r="F27" s="59" t="e">
        <f>IF(Input!$C$19="Yes",B27/$B$33*$B$10,D27)</f>
        <v>#DIV/0!</v>
      </c>
      <c r="G27" s="55"/>
      <c r="H27" s="64"/>
      <c r="J27" s="59" t="e">
        <f>ROUNDUP(IF(G27="",F27*(1+H27),G27*(1+H27)),0)</f>
        <v>#DIV/0!</v>
      </c>
      <c r="K27" s="263" t="str">
        <f>IF(Input!$C$19="Yes","",IF(J27&gt;=D27,"YES","NO"))</f>
        <v/>
      </c>
      <c r="L27" s="264"/>
    </row>
    <row r="28" spans="1:12" ht="15.75" x14ac:dyDescent="0.25">
      <c r="A28" s="73" t="str">
        <f>Input!B64</f>
        <v xml:space="preserve">Custom 1 </v>
      </c>
      <c r="B28" s="59">
        <f>Input!D64</f>
        <v>0</v>
      </c>
      <c r="C28" s="185">
        <f>Input!C64</f>
        <v>0</v>
      </c>
      <c r="D28" s="59">
        <f>IF(Input!$C$21="no",C28*Input!$C$40,C28*($H$3+$H$8))/100</f>
        <v>0</v>
      </c>
      <c r="F28" s="59" t="e">
        <f>IF(Input!$C$19="Yes",B28/$B$33*$B$10,D28)</f>
        <v>#DIV/0!</v>
      </c>
      <c r="G28" s="55"/>
      <c r="H28" s="64"/>
      <c r="J28" s="59" t="e">
        <f t="shared" ref="J28:J29" si="1">ROUNDUP(IF(G28="",F28*(1+H28),G28*(1+H28)),0)</f>
        <v>#DIV/0!</v>
      </c>
      <c r="K28" s="263" t="str">
        <f>IF(Input!$C$19="Yes","",IF(J28&gt;=D28,"YES","NO"))</f>
        <v/>
      </c>
      <c r="L28" s="264"/>
    </row>
    <row r="29" spans="1:12" ht="15.75" x14ac:dyDescent="0.25">
      <c r="A29" s="73" t="str">
        <f>Input!B65</f>
        <v xml:space="preserve">Custom 2 </v>
      </c>
      <c r="B29" s="59">
        <f>Input!D65</f>
        <v>0</v>
      </c>
      <c r="C29" s="185">
        <f>Input!C65</f>
        <v>0</v>
      </c>
      <c r="D29" s="59">
        <f>IF(Input!$C$21="no",C29*Input!$C$40,C29*($H$3+$H$8))/100</f>
        <v>0</v>
      </c>
      <c r="F29" s="59" t="e">
        <f>IF(Input!$C$19="Yes",B29/$B$33*$B$10,D29)</f>
        <v>#DIV/0!</v>
      </c>
      <c r="G29" s="55"/>
      <c r="H29" s="64"/>
      <c r="J29" s="59" t="e">
        <f t="shared" si="1"/>
        <v>#DIV/0!</v>
      </c>
      <c r="K29" s="263" t="str">
        <f>IF(Input!$C$19="Yes","",IF(J29&gt;=D29,"YES","NO"))</f>
        <v/>
      </c>
      <c r="L29" s="264"/>
    </row>
    <row r="30" spans="1:12" ht="15.75" x14ac:dyDescent="0.25">
      <c r="A30" s="73" t="str">
        <f>Input!B66</f>
        <v xml:space="preserve">Custom 3 </v>
      </c>
      <c r="B30" s="59">
        <f>Input!D66</f>
        <v>0</v>
      </c>
      <c r="C30" s="185">
        <f>Input!C66</f>
        <v>0</v>
      </c>
      <c r="D30" s="59">
        <f>IF(Input!$C$21="no",C30*Input!$C$40,C30*($H$3+$H$8))/100</f>
        <v>0</v>
      </c>
      <c r="F30" s="59" t="e">
        <f>IF(Input!$C$19="Yes",B30/$B$33*$B$10,D30)</f>
        <v>#DIV/0!</v>
      </c>
      <c r="G30" s="55"/>
      <c r="H30" s="64"/>
      <c r="J30" s="59" t="e">
        <f>ROUNDUP(IF(G30="",F30*(1+H30),G30*(1+H30)),0)</f>
        <v>#DIV/0!</v>
      </c>
      <c r="K30" s="263" t="str">
        <f>IF(Input!$C$19="Yes","",IF(J30&gt;=D30,"YES","NO"))</f>
        <v/>
      </c>
      <c r="L30" s="264"/>
    </row>
    <row r="31" spans="1:12" s="71" customFormat="1" ht="8.25" customHeight="1" x14ac:dyDescent="0.25">
      <c r="A31" s="73"/>
      <c r="B31" s="79"/>
      <c r="C31" s="233"/>
      <c r="D31" s="79"/>
      <c r="F31" s="79"/>
      <c r="G31" s="234"/>
      <c r="H31" s="235"/>
      <c r="J31" s="79"/>
    </row>
    <row r="32" spans="1:12" ht="21" customHeight="1" x14ac:dyDescent="0.2">
      <c r="B32" s="3"/>
      <c r="C32" s="3"/>
    </row>
    <row r="33" spans="1:12" ht="15.75" x14ac:dyDescent="0.25">
      <c r="A33" s="2" t="str">
        <f>IF(Input!C19="Yes","Capped Extension ","Extension  ")</f>
        <v xml:space="preserve">Capped Extension </v>
      </c>
      <c r="B33" s="62">
        <f>SUM(B14:B30)</f>
        <v>0</v>
      </c>
      <c r="C33" s="122"/>
      <c r="D33" s="183">
        <f>SUM(D14:D30)</f>
        <v>0</v>
      </c>
      <c r="F33" s="62" t="e">
        <f>SUM(F14:F30)</f>
        <v>#DIV/0!</v>
      </c>
      <c r="G33" s="183">
        <f>SUM(G14:G32)</f>
        <v>0</v>
      </c>
      <c r="I33" s="2" t="str">
        <f>IF(Input!C19="Yes","Capped Levy ","District Levy ")</f>
        <v xml:space="preserve">Capped Levy </v>
      </c>
      <c r="J33" s="62" t="e">
        <f>SUM(J14:J30)</f>
        <v>#DIV/0!</v>
      </c>
    </row>
    <row r="34" spans="1:12" ht="16.5" thickBot="1" x14ac:dyDescent="0.3">
      <c r="A34" s="2"/>
      <c r="J34" s="74"/>
    </row>
    <row r="35" spans="1:12" ht="16.5" thickBot="1" x14ac:dyDescent="0.3">
      <c r="A35" s="2"/>
      <c r="G35" s="71"/>
      <c r="H35" s="71"/>
      <c r="I35" s="73" t="e">
        <f>IF(J35&lt;0,"Levy Amount Below Estimated Extension ","Levy Amount Above Estimated Extension ")</f>
        <v>#DIV/0!</v>
      </c>
      <c r="J35" s="181" t="e">
        <f>IF(Input!C19="Yes",J33-B10,"N/A")</f>
        <v>#DIV/0!</v>
      </c>
    </row>
    <row r="36" spans="1:12" ht="16.5" thickBot="1" x14ac:dyDescent="0.3">
      <c r="A36" s="2"/>
      <c r="D36" s="2" t="s">
        <v>100</v>
      </c>
      <c r="F36" s="176"/>
      <c r="G36" s="121" t="str">
        <f>IF(F36&gt;4%," ALERT - Special Rec. Rate Can Not Exceed 0.04","")</f>
        <v/>
      </c>
      <c r="H36" s="121"/>
      <c r="I36" s="121"/>
      <c r="J36" s="121"/>
    </row>
    <row r="37" spans="1:12" ht="16.5" thickBot="1" x14ac:dyDescent="0.3">
      <c r="A37" s="2" t="s">
        <v>98</v>
      </c>
      <c r="B37" s="62">
        <f>Input!D70</f>
        <v>0</v>
      </c>
      <c r="C37" s="50"/>
      <c r="D37" s="2" t="s">
        <v>101</v>
      </c>
      <c r="F37" s="184" t="str">
        <f>IF(F36="","",H10*(MIN(F36,4%))/100)</f>
        <v/>
      </c>
      <c r="G37" s="60"/>
      <c r="H37" s="52"/>
      <c r="I37" s="2"/>
      <c r="J37" s="181">
        <f>G37</f>
        <v>0</v>
      </c>
      <c r="K37" s="52"/>
    </row>
    <row r="38" spans="1:12" ht="15.75" x14ac:dyDescent="0.25">
      <c r="A38" s="2"/>
      <c r="B38" s="4"/>
      <c r="C38" s="50"/>
      <c r="D38" s="2"/>
      <c r="F38" s="190"/>
      <c r="G38" s="3"/>
      <c r="H38" s="52"/>
      <c r="I38" s="2"/>
      <c r="J38" s="182"/>
      <c r="K38" s="52"/>
    </row>
    <row r="39" spans="1:12" ht="16.5" thickBot="1" x14ac:dyDescent="0.3">
      <c r="A39" s="191"/>
      <c r="B39" s="192"/>
      <c r="C39" s="193"/>
      <c r="D39" s="191" t="s">
        <v>108</v>
      </c>
      <c r="E39" s="192"/>
      <c r="F39" s="194"/>
      <c r="G39" s="189" t="str">
        <f>IF(F39&gt;Input!$C$71," ALERT - Museum Rate Can Not Exceed "&amp;Input!$C$71&amp;"","")</f>
        <v/>
      </c>
      <c r="H39" s="195"/>
      <c r="I39" s="2"/>
      <c r="J39" s="182"/>
      <c r="K39" s="283" t="s">
        <v>6</v>
      </c>
      <c r="L39" s="283"/>
    </row>
    <row r="40" spans="1:12" ht="16.5" thickBot="1" x14ac:dyDescent="0.3">
      <c r="A40" s="191" t="s">
        <v>110</v>
      </c>
      <c r="B40" s="183">
        <f>Input!D71</f>
        <v>0</v>
      </c>
      <c r="C40" s="193"/>
      <c r="D40" s="191" t="s">
        <v>109</v>
      </c>
      <c r="E40" s="192"/>
      <c r="F40" s="196" t="str">
        <f>IF(F39="","",H10*(MIN(F39,Input!$C$71))/100)</f>
        <v/>
      </c>
      <c r="G40" s="196"/>
      <c r="H40" s="195"/>
      <c r="I40" s="2"/>
      <c r="J40" s="197">
        <f>G40</f>
        <v>0</v>
      </c>
      <c r="K40" s="180" t="e">
        <f>(J33+J37+J40)/(B33+B37+B40)-1</f>
        <v>#DIV/0!</v>
      </c>
      <c r="L40" s="119" t="e">
        <f>IF(K40&gt;0.05,"YES","NO")</f>
        <v>#DIV/0!</v>
      </c>
    </row>
    <row r="41" spans="1:12" ht="19.5" customHeight="1" thickBot="1" x14ac:dyDescent="0.3">
      <c r="A41" s="2"/>
      <c r="G41" s="120"/>
      <c r="K41" s="281" t="s">
        <v>83</v>
      </c>
      <c r="L41" s="281"/>
    </row>
    <row r="42" spans="1:12" ht="16.5" thickBot="1" x14ac:dyDescent="0.3">
      <c r="A42" s="2" t="s">
        <v>86</v>
      </c>
      <c r="B42" s="59">
        <f>Input!D74</f>
        <v>0</v>
      </c>
      <c r="C42" s="10"/>
      <c r="F42" s="2" t="s">
        <v>56</v>
      </c>
      <c r="G42" s="60"/>
      <c r="H42" s="50"/>
      <c r="I42" s="2" t="s">
        <v>92</v>
      </c>
      <c r="J42" s="59">
        <f>G42</f>
        <v>0</v>
      </c>
      <c r="K42" s="180" t="e">
        <f>J42/B42-1</f>
        <v>#DIV/0!</v>
      </c>
    </row>
    <row r="43" spans="1:12" ht="16.5" thickBot="1" x14ac:dyDescent="0.3">
      <c r="A43" s="2"/>
      <c r="B43" s="132"/>
      <c r="C43" s="4"/>
      <c r="D43" s="4"/>
      <c r="G43" s="120" t="s">
        <v>75</v>
      </c>
      <c r="I43" s="2"/>
      <c r="J43" s="2"/>
      <c r="K43" s="12"/>
    </row>
    <row r="44" spans="1:12" ht="16.5" thickBot="1" x14ac:dyDescent="0.3">
      <c r="A44" s="2" t="s">
        <v>87</v>
      </c>
      <c r="B44" s="62">
        <f>B33+B42+B37+B40</f>
        <v>0</v>
      </c>
      <c r="C44" s="10"/>
      <c r="I44" s="2" t="s">
        <v>57</v>
      </c>
      <c r="J44" s="62" t="e">
        <f>J33+J42+J37+J40</f>
        <v>#DIV/0!</v>
      </c>
      <c r="K44" s="180" t="e">
        <f>J44/B44-1</f>
        <v>#DIV/0!</v>
      </c>
    </row>
    <row r="45" spans="1:12" ht="4.5" customHeight="1" x14ac:dyDescent="0.2">
      <c r="C45" s="3"/>
    </row>
    <row r="46" spans="1:12" x14ac:dyDescent="0.2">
      <c r="C46" s="3"/>
    </row>
    <row r="47" spans="1:12" x14ac:dyDescent="0.2"/>
  </sheetData>
  <sheetProtection algorithmName="SHA-512" hashValue="FcaKvRkkblAPVhvPF/fwQoyWLadIK6pd9R4mrIw6w+7Ss32oHACzvrNTrQ8YnWtlLRXfgKn0kKkUSi4G58Cvfw==" saltValue="tgIrZQABEK1rmT6FyxVDbQ==" spinCount="100000" sheet="1" objects="1" scenarios="1"/>
  <mergeCells count="31">
    <mergeCell ref="K29:L29"/>
    <mergeCell ref="K41:L41"/>
    <mergeCell ref="J1:L1"/>
    <mergeCell ref="K39:L39"/>
    <mergeCell ref="K22:L22"/>
    <mergeCell ref="K24:L24"/>
    <mergeCell ref="K25:L25"/>
    <mergeCell ref="K30:L30"/>
    <mergeCell ref="K18:L18"/>
    <mergeCell ref="K21:L21"/>
    <mergeCell ref="K23:L23"/>
    <mergeCell ref="K13:L13"/>
    <mergeCell ref="K14:L14"/>
    <mergeCell ref="K15:L15"/>
    <mergeCell ref="K16:L16"/>
    <mergeCell ref="K19:L19"/>
    <mergeCell ref="K20:L20"/>
    <mergeCell ref="K28:L28"/>
    <mergeCell ref="K17:L17"/>
    <mergeCell ref="A2:B2"/>
    <mergeCell ref="B5:D5"/>
    <mergeCell ref="B6:D6"/>
    <mergeCell ref="H12:H13"/>
    <mergeCell ref="F12:F13"/>
    <mergeCell ref="G12:G13"/>
    <mergeCell ref="A5:A6"/>
    <mergeCell ref="J2:L2"/>
    <mergeCell ref="J3:L3"/>
    <mergeCell ref="J4:L4"/>
    <mergeCell ref="K26:L26"/>
    <mergeCell ref="K27:L27"/>
  </mergeCells>
  <phoneticPr fontId="3" type="noConversion"/>
  <conditionalFormatting sqref="A5:B5 B6">
    <cfRule type="expression" dxfId="132" priority="88" stopIfTrue="1">
      <formula>$B$9="N/A"</formula>
    </cfRule>
  </conditionalFormatting>
  <conditionalFormatting sqref="A9:B10">
    <cfRule type="expression" dxfId="131" priority="89" stopIfTrue="1">
      <formula>$B$9="N/A"</formula>
    </cfRule>
  </conditionalFormatting>
  <conditionalFormatting sqref="G35:I35">
    <cfRule type="expression" dxfId="121" priority="75">
      <formula>$J$35&lt;0</formula>
    </cfRule>
  </conditionalFormatting>
  <conditionalFormatting sqref="G36:I36">
    <cfRule type="expression" dxfId="120" priority="7">
      <formula>$F$36&gt;0.04</formula>
    </cfRule>
  </conditionalFormatting>
  <conditionalFormatting sqref="J35">
    <cfRule type="cellIs" dxfId="116" priority="86" stopIfTrue="1" operator="lessThan">
      <formula>0</formula>
    </cfRule>
  </conditionalFormatting>
  <conditionalFormatting sqref="K23">
    <cfRule type="expression" dxfId="114" priority="56">
      <formula>$K$23="N/A"</formula>
    </cfRule>
  </conditionalFormatting>
  <conditionalFormatting sqref="K41">
    <cfRule type="expression" dxfId="113" priority="73">
      <formula>$L$40="No"</formula>
    </cfRule>
  </conditionalFormatting>
  <conditionalFormatting sqref="K14:L17">
    <cfRule type="expression" dxfId="112" priority="55">
      <formula>$K14="YES"</formula>
    </cfRule>
    <cfRule type="expression" dxfId="111" priority="66">
      <formula>$K14="NO"</formula>
    </cfRule>
  </conditionalFormatting>
  <conditionalFormatting sqref="K18:L21">
    <cfRule type="expression" dxfId="110" priority="57">
      <formula>$K$21="N/A"</formula>
    </cfRule>
  </conditionalFormatting>
  <conditionalFormatting sqref="K22:L22 K24:L30">
    <cfRule type="expression" dxfId="109" priority="22">
      <formula>$K22="YES"</formula>
    </cfRule>
    <cfRule type="expression" dxfId="108" priority="23">
      <formula>$K22="NO"</formula>
    </cfRule>
  </conditionalFormatting>
  <conditionalFormatting sqref="L18">
    <cfRule type="expression" dxfId="107" priority="13">
      <formula>$K$18="N/A"</formula>
    </cfRule>
  </conditionalFormatting>
  <conditionalFormatting sqref="L40">
    <cfRule type="cellIs" dxfId="106" priority="87" stopIfTrue="1" operator="equal">
      <formula>"YES"</formula>
    </cfRule>
  </conditionalFormatting>
  <pageMargins left="0.4" right="0.4" top="0.73" bottom="0.79" header="0.5" footer="0.49"/>
  <pageSetup scale="70" orientation="landscape" r:id="rId1"/>
  <headerFooter alignWithMargins="0"/>
  <ignoredErrors>
    <ignoredError sqref="D22:D23 F22" formula="1"/>
  </ignoredErrors>
  <extLst>
    <ext xmlns:x14="http://schemas.microsoft.com/office/spreadsheetml/2009/9/main" uri="{78C0D931-6437-407d-A8EE-F0AAD7539E65}">
      <x14:conditionalFormattings>
        <x14:conditionalFormatting xmlns:xm="http://schemas.microsoft.com/office/excel/2006/main">
          <x14:cfRule type="expression" priority="18" id="{8EFC974D-C4A9-4516-8B16-FB9DE2D29F54}">
            <xm:f>Input!$A$52="N/A"</xm:f>
            <x14:dxf>
              <fill>
                <patternFill>
                  <bgColor theme="1"/>
                </patternFill>
              </fill>
            </x14:dxf>
          </x14:cfRule>
          <xm:sqref>C18:C21</xm:sqref>
        </x14:conditionalFormatting>
        <x14:conditionalFormatting xmlns:xm="http://schemas.microsoft.com/office/excel/2006/main">
          <x14:cfRule type="expression" priority="17" id="{C1F70EAE-11A2-4AAB-B7C5-A2974CA11B6C}">
            <xm:f>Input!$A$52="N/A"</xm:f>
            <x14:dxf>
              <fill>
                <patternFill>
                  <bgColor theme="1"/>
                </patternFill>
              </fill>
            </x14:dxf>
          </x14:cfRule>
          <xm:sqref>C23</xm:sqref>
        </x14:conditionalFormatting>
        <x14:conditionalFormatting xmlns:xm="http://schemas.microsoft.com/office/excel/2006/main">
          <x14:cfRule type="expression" priority="76" id="{AFC2C999-DD89-4C2F-97EF-46D1B224C6D4}">
            <xm:f>Input!$C$19="Yes"</xm:f>
            <x14:dxf>
              <font>
                <color theme="0"/>
              </font>
              <fill>
                <patternFill>
                  <bgColor theme="0"/>
                </patternFill>
              </fill>
              <border>
                <left/>
                <right/>
                <top/>
                <bottom/>
                <vertical/>
                <horizontal/>
              </border>
            </x14:dxf>
          </x14:cfRule>
          <xm:sqref>D33</xm:sqref>
        </x14:conditionalFormatting>
        <x14:conditionalFormatting xmlns:xm="http://schemas.microsoft.com/office/excel/2006/main">
          <x14:cfRule type="expression" priority="68" id="{7CB6334F-FA46-45F7-BE39-DBC48A053A53}">
            <xm:f>Input!$C$19="No"</xm:f>
            <x14:dxf>
              <font>
                <color theme="0"/>
              </font>
              <fill>
                <patternFill>
                  <bgColor theme="0"/>
                </patternFill>
              </fill>
              <border>
                <left/>
                <right/>
                <top/>
                <bottom/>
                <vertical/>
                <horizontal/>
              </border>
            </x14:dxf>
          </x14:cfRule>
          <xm:sqref>F33</xm:sqref>
        </x14:conditionalFormatting>
        <x14:conditionalFormatting xmlns:xm="http://schemas.microsoft.com/office/excel/2006/main">
          <x14:cfRule type="expression" priority="4" id="{583EE103-6C69-46ED-A50D-CBE9198522E6}">
            <xm:f>Input!$C$19="No"</xm:f>
            <x14:dxf>
              <font>
                <color theme="0"/>
              </font>
              <fill>
                <patternFill patternType="none">
                  <bgColor auto="1"/>
                </patternFill>
              </fill>
              <border>
                <left/>
                <right/>
                <top/>
                <bottom/>
                <vertical/>
                <horizontal/>
              </border>
            </x14:dxf>
          </x14:cfRule>
          <xm:sqref>F8:H8</xm:sqref>
        </x14:conditionalFormatting>
        <x14:conditionalFormatting xmlns:xm="http://schemas.microsoft.com/office/excel/2006/main">
          <x14:cfRule type="expression" priority="70" id="{656AB4A6-6A36-44E4-90CE-14540CD05FFC}">
            <xm:f>Input!$C$19="No"</xm:f>
            <x14:dxf>
              <font>
                <color theme="0"/>
              </font>
            </x14:dxf>
          </x14:cfRule>
          <xm:sqref>G2</xm:sqref>
        </x14:conditionalFormatting>
        <x14:conditionalFormatting xmlns:xm="http://schemas.microsoft.com/office/excel/2006/main">
          <x14:cfRule type="expression" priority="69" id="{9A6FF348-BDC9-4975-B2E6-12B961D4AA49}">
            <xm:f>Input!$C$19="Yes"</xm:f>
            <x14:dxf>
              <font>
                <color theme="0"/>
              </font>
              <fill>
                <patternFill>
                  <bgColor theme="0"/>
                </patternFill>
              </fill>
              <border>
                <left style="thin">
                  <color auto="1"/>
                </left>
                <right/>
                <top/>
                <bottom/>
                <vertical/>
                <horizontal/>
              </border>
            </x14:dxf>
          </x14:cfRule>
          <xm:sqref>G33</xm:sqref>
        </x14:conditionalFormatting>
        <x14:conditionalFormatting xmlns:xm="http://schemas.microsoft.com/office/excel/2006/main">
          <x14:cfRule type="expression" priority="24" id="{4EF76B04-FFE1-4582-B749-370F859FD5F0}">
            <xm:f>Input!$C$19="No"</xm:f>
            <x14:dxf>
              <font>
                <color theme="0"/>
              </font>
            </x14:dxf>
          </x14:cfRule>
          <xm:sqref>G41</xm:sqref>
        </x14:conditionalFormatting>
        <x14:conditionalFormatting xmlns:xm="http://schemas.microsoft.com/office/excel/2006/main">
          <x14:cfRule type="expression" priority="5" id="{00000000-000E-0000-0300-000001000000}">
            <xm:f>$F$39&gt;Input!$C$71</xm:f>
            <x14:dxf>
              <fill>
                <patternFill>
                  <bgColor theme="5" tint="0.59996337778862885"/>
                </patternFill>
              </fill>
            </x14:dxf>
          </x14:cfRule>
          <xm:sqref>G39:H39</xm:sqref>
        </x14:conditionalFormatting>
        <x14:conditionalFormatting xmlns:xm="http://schemas.microsoft.com/office/excel/2006/main">
          <x14:cfRule type="expression" priority="21" id="{8657D7A4-5B7D-4683-8935-5FD64BD09B82}">
            <xm:f>Input!$C$19="No"</xm:f>
            <x14:dxf>
              <font>
                <color theme="0"/>
              </font>
              <fill>
                <patternFill>
                  <bgColor theme="0"/>
                </patternFill>
              </fill>
              <border>
                <left/>
                <right/>
                <top/>
                <bottom/>
                <vertical/>
                <horizontal/>
              </border>
            </x14:dxf>
          </x14:cfRule>
          <xm:sqref>G35:J35</xm:sqref>
        </x14:conditionalFormatting>
        <x14:conditionalFormatting xmlns:xm="http://schemas.microsoft.com/office/excel/2006/main">
          <x14:cfRule type="expression" priority="71" id="{DB631823-708F-445F-8E75-C725E1CB2553}">
            <xm:f>Input!$C$19="No"</xm:f>
            <x14:dxf>
              <font>
                <color theme="0"/>
              </font>
              <fill>
                <patternFill>
                  <bgColor theme="0"/>
                </patternFill>
              </fill>
              <border>
                <left/>
                <right/>
                <top/>
                <bottom style="thin">
                  <color auto="1"/>
                </bottom>
                <vertical/>
                <horizontal/>
              </border>
            </x14:dxf>
          </x14:cfRule>
          <xm:sqref>H2</xm:sqref>
        </x14:conditionalFormatting>
        <x14:conditionalFormatting xmlns:xm="http://schemas.microsoft.com/office/excel/2006/main">
          <x14:cfRule type="expression" priority="3" id="{5A6EC9DE-2A97-4C46-A321-892F07FBFA82}">
            <xm:f>Input!$C$19="No"</xm:f>
            <x14:dxf>
              <font>
                <color theme="0"/>
              </font>
            </x14:dxf>
          </x14:cfRule>
          <xm:sqref>I10:I11</xm:sqref>
        </x14:conditionalFormatting>
        <x14:conditionalFormatting xmlns:xm="http://schemas.microsoft.com/office/excel/2006/main">
          <x14:cfRule type="expression" priority="26" id="{A33B5606-87D4-46CB-877A-21F30CD8BA09}">
            <xm:f>Input!$C$19="Yes"</xm:f>
            <x14:dxf>
              <font>
                <color theme="0"/>
              </font>
            </x14:dxf>
          </x14:cfRule>
          <xm:sqref>K13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4:L93"/>
  <sheetViews>
    <sheetView showGridLines="0" workbookViewId="0">
      <selection activeCell="I8" sqref="I8"/>
    </sheetView>
  </sheetViews>
  <sheetFormatPr defaultRowHeight="12.75" x14ac:dyDescent="0.2"/>
  <sheetData>
    <row r="4" spans="1:11" s="36" customFormat="1" ht="18" x14ac:dyDescent="0.25">
      <c r="C4" s="37" t="s">
        <v>17</v>
      </c>
      <c r="D4" s="38"/>
      <c r="E4" s="38"/>
      <c r="F4" s="38"/>
      <c r="G4" s="38"/>
      <c r="H4" s="38"/>
      <c r="I4" s="38"/>
      <c r="J4" s="39"/>
      <c r="K4" s="39"/>
    </row>
    <row r="5" spans="1:11" s="26" customFormat="1" ht="17.25" x14ac:dyDescent="0.25">
      <c r="A5" s="25" t="s">
        <v>25</v>
      </c>
      <c r="C5" s="27"/>
      <c r="E5" s="28"/>
      <c r="F5" s="29"/>
      <c r="H5" s="29"/>
      <c r="I5" s="29"/>
    </row>
    <row r="6" spans="1:11" s="31" customFormat="1" ht="17.25" x14ac:dyDescent="0.2">
      <c r="A6" s="25" t="s">
        <v>18</v>
      </c>
      <c r="B6" s="30"/>
      <c r="C6" s="30"/>
      <c r="D6" s="30"/>
      <c r="E6" s="30"/>
      <c r="F6" s="30"/>
      <c r="G6" s="30"/>
    </row>
    <row r="7" spans="1:11" s="32" customFormat="1" ht="17.25" x14ac:dyDescent="0.2">
      <c r="A7" s="25" t="s">
        <v>19</v>
      </c>
    </row>
    <row r="8" spans="1:11" s="34" customFormat="1" ht="17.25" x14ac:dyDescent="0.2">
      <c r="A8" s="33" t="s">
        <v>21</v>
      </c>
    </row>
    <row r="9" spans="1:11" s="34" customFormat="1" ht="17.25" x14ac:dyDescent="0.2">
      <c r="A9" s="33" t="s">
        <v>22</v>
      </c>
    </row>
    <row r="10" spans="1:11" s="34" customFormat="1" ht="17.25" x14ac:dyDescent="0.2">
      <c r="A10" s="33" t="s">
        <v>23</v>
      </c>
    </row>
    <row r="11" spans="1:11" s="34" customFormat="1" ht="17.25" x14ac:dyDescent="0.2">
      <c r="A11" s="33" t="s">
        <v>20</v>
      </c>
      <c r="C11" s="35"/>
    </row>
    <row r="12" spans="1:11" s="32" customFormat="1" ht="17.25" x14ac:dyDescent="0.2">
      <c r="A12" s="33" t="s">
        <v>24</v>
      </c>
    </row>
    <row r="13" spans="1:11" x14ac:dyDescent="0.2">
      <c r="A13" s="24"/>
    </row>
    <row r="14" spans="1:11" ht="15" x14ac:dyDescent="0.2">
      <c r="A14" s="24"/>
      <c r="C14" s="19"/>
    </row>
    <row r="18" spans="3:9" s="36" customFormat="1" ht="18" x14ac:dyDescent="0.25">
      <c r="C18" s="40" t="s">
        <v>11</v>
      </c>
      <c r="D18" s="41"/>
      <c r="E18" s="41"/>
      <c r="F18" s="41"/>
      <c r="G18" s="41"/>
      <c r="H18" s="41"/>
      <c r="I18" s="41"/>
    </row>
    <row r="19" spans="3:9" ht="15.75" x14ac:dyDescent="0.2">
      <c r="C19" s="16" t="s">
        <v>12</v>
      </c>
      <c r="D19" s="17"/>
      <c r="E19" s="17"/>
      <c r="F19" s="17"/>
      <c r="G19" s="17"/>
    </row>
    <row r="28" spans="3:9" ht="15" x14ac:dyDescent="0.2">
      <c r="C28" s="20"/>
      <c r="D28" s="21"/>
    </row>
    <row r="29" spans="3:9" ht="15" x14ac:dyDescent="0.2">
      <c r="C29" s="20"/>
    </row>
    <row r="30" spans="3:9" ht="15" x14ac:dyDescent="0.2">
      <c r="C30" s="20"/>
    </row>
    <row r="31" spans="3:9" ht="15" x14ac:dyDescent="0.2">
      <c r="C31" s="20"/>
    </row>
    <row r="32" spans="3:9" ht="15" x14ac:dyDescent="0.2">
      <c r="C32" s="20"/>
    </row>
    <row r="33" spans="3:12" ht="15" x14ac:dyDescent="0.2">
      <c r="C33" s="20"/>
    </row>
    <row r="34" spans="3:12" ht="15" x14ac:dyDescent="0.2">
      <c r="C34" s="20"/>
    </row>
    <row r="44" spans="3:12" ht="15.75" x14ac:dyDescent="0.2">
      <c r="C44" s="22" t="s">
        <v>13</v>
      </c>
      <c r="D44" s="17"/>
      <c r="E44" s="17"/>
      <c r="F44" s="17"/>
      <c r="G44" s="17"/>
      <c r="H44" s="17"/>
      <c r="I44" s="17"/>
      <c r="J44" s="17"/>
      <c r="K44" s="17"/>
      <c r="L44" s="17"/>
    </row>
    <row r="45" spans="3:12" x14ac:dyDescent="0.2">
      <c r="C45" s="18" t="s">
        <v>14</v>
      </c>
    </row>
    <row r="46" spans="3:12" x14ac:dyDescent="0.2">
      <c r="C46" s="18" t="s">
        <v>15</v>
      </c>
    </row>
    <row r="93" spans="3:8" ht="15.75" x14ac:dyDescent="0.25">
      <c r="C93" s="16" t="s">
        <v>16</v>
      </c>
      <c r="D93" s="23"/>
      <c r="E93" s="23"/>
      <c r="F93" s="23"/>
      <c r="G93" s="17"/>
      <c r="H93" s="17"/>
    </row>
  </sheetData>
  <phoneticPr fontId="3" type="noConversion"/>
  <pageMargins left="0.75" right="0.75" top="1" bottom="1" header="0.5" footer="0.5"/>
  <headerFooter alignWithMargins="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F9C5E3-0188-4831-8AA2-0A3276381A82}">
  <sheetPr>
    <tabColor theme="4" tint="0.79998168889431442"/>
  </sheetPr>
  <dimension ref="A1:AD89"/>
  <sheetViews>
    <sheetView showGridLines="0" workbookViewId="0">
      <selection activeCell="O7" sqref="O7"/>
    </sheetView>
  </sheetViews>
  <sheetFormatPr defaultColWidth="9.140625" defaultRowHeight="12.75" zeroHeight="1" x14ac:dyDescent="0.2"/>
  <cols>
    <col min="1" max="1" width="44.85546875" style="133" bestFit="1" customWidth="1"/>
    <col min="2" max="2" width="16.5703125" style="133" customWidth="1"/>
    <col min="3" max="4" width="9.140625" style="133" customWidth="1"/>
    <col min="5" max="5" width="10" style="133" customWidth="1"/>
    <col min="6" max="6" width="10.85546875" style="133" customWidth="1"/>
    <col min="7" max="7" width="10" style="133" customWidth="1"/>
    <col min="8" max="8" width="2.85546875" style="133" customWidth="1"/>
    <col min="9" max="9" width="13" style="133" customWidth="1"/>
    <col min="10" max="10" width="10.5703125" style="133" customWidth="1"/>
    <col min="11" max="12" width="9.140625" style="133" customWidth="1"/>
    <col min="13" max="13" width="16.5703125" style="133" customWidth="1"/>
    <col min="14" max="14" width="7.42578125" style="133" customWidth="1"/>
    <col min="15" max="15" width="13.7109375" style="133" customWidth="1"/>
    <col min="16" max="16" width="4.85546875" style="136" customWidth="1"/>
    <col min="17" max="30" width="9.140625" style="136" customWidth="1"/>
    <col min="31" max="16384" width="9.140625" style="133"/>
  </cols>
  <sheetData>
    <row r="1" spans="1:28" ht="16.5" thickBot="1" x14ac:dyDescent="0.3">
      <c r="A1" s="156"/>
      <c r="B1" s="156"/>
      <c r="C1" s="156"/>
      <c r="D1" s="156"/>
      <c r="E1" s="134"/>
      <c r="F1" s="135" t="s">
        <v>32</v>
      </c>
      <c r="G1" s="134"/>
      <c r="H1" s="134"/>
      <c r="I1" s="156"/>
      <c r="J1" s="156"/>
      <c r="K1" s="156"/>
      <c r="L1" s="156"/>
      <c r="M1" s="156"/>
      <c r="N1" s="156"/>
      <c r="O1" s="156"/>
    </row>
    <row r="2" spans="1:28" ht="18.75" x14ac:dyDescent="0.3">
      <c r="A2" s="284" t="str">
        <f>Input!$C$9&amp;" Taxpayer Impact Calculation Page"</f>
        <v>2024 Taxpayer Impact Calculation Page</v>
      </c>
      <c r="B2" s="284"/>
      <c r="C2" s="156"/>
      <c r="D2" s="156"/>
      <c r="E2" s="137"/>
      <c r="F2" s="138" t="s">
        <v>30</v>
      </c>
      <c r="G2" s="139"/>
      <c r="H2" s="134"/>
      <c r="I2" s="156"/>
      <c r="J2" s="156"/>
      <c r="K2" s="156"/>
      <c r="L2" s="156"/>
      <c r="M2" s="156"/>
      <c r="N2" s="156"/>
      <c r="O2" s="156"/>
    </row>
    <row r="3" spans="1:28" x14ac:dyDescent="0.2">
      <c r="A3" s="156"/>
      <c r="B3" s="156"/>
      <c r="C3" s="156"/>
      <c r="D3" s="156"/>
      <c r="E3" s="140"/>
      <c r="F3" s="141" t="s">
        <v>31</v>
      </c>
      <c r="G3" s="142"/>
      <c r="H3" s="134"/>
      <c r="I3" s="156"/>
      <c r="J3" s="156"/>
      <c r="K3" s="156"/>
      <c r="L3" s="156"/>
      <c r="M3" s="156"/>
      <c r="N3" s="156"/>
      <c r="O3" s="156"/>
    </row>
    <row r="4" spans="1:28" ht="16.5" thickBot="1" x14ac:dyDescent="0.3">
      <c r="A4" s="156"/>
      <c r="B4" s="143" t="s">
        <v>129</v>
      </c>
      <c r="C4" s="156"/>
      <c r="D4" s="156"/>
      <c r="E4" s="144"/>
      <c r="F4" s="145" t="s">
        <v>35</v>
      </c>
      <c r="G4" s="146"/>
      <c r="H4" s="134"/>
      <c r="I4" s="156"/>
      <c r="J4" s="156"/>
      <c r="K4" s="156"/>
      <c r="L4" s="156"/>
      <c r="M4" s="147" t="s">
        <v>113</v>
      </c>
      <c r="N4" s="156"/>
      <c r="O4" s="156"/>
    </row>
    <row r="5" spans="1:28" x14ac:dyDescent="0.2">
      <c r="A5" s="156"/>
      <c r="B5" s="156"/>
      <c r="C5" s="156"/>
      <c r="D5" s="156"/>
      <c r="E5" s="156"/>
      <c r="F5" s="156"/>
      <c r="G5" s="156"/>
      <c r="H5" s="156"/>
      <c r="I5" s="156"/>
      <c r="J5" s="156"/>
      <c r="K5" s="156"/>
      <c r="L5" s="156"/>
      <c r="M5" s="156"/>
      <c r="N5" s="156"/>
      <c r="O5" s="156"/>
    </row>
    <row r="6" spans="1:28" ht="15.75" x14ac:dyDescent="0.25">
      <c r="A6" s="143" t="str">
        <f>Input!B34</f>
        <v xml:space="preserve">Estimated Existing EAV % Change for 2024 </v>
      </c>
      <c r="B6" s="148">
        <f>Calculations!$H$5</f>
        <v>0</v>
      </c>
      <c r="C6" s="156"/>
      <c r="D6" s="156"/>
      <c r="E6" s="156"/>
      <c r="F6" s="156"/>
      <c r="G6" s="156"/>
      <c r="H6" s="156"/>
      <c r="I6" s="156"/>
      <c r="J6" s="156"/>
      <c r="K6" s="156"/>
      <c r="L6" s="149" t="str">
        <f>(Input!$C$9-1)&amp; " Fair Cash / Market Value Home"</f>
        <v>2023 Fair Cash / Market Value Home</v>
      </c>
      <c r="M6" s="150"/>
      <c r="Q6" s="151"/>
    </row>
    <row r="7" spans="1:28" ht="15.75" x14ac:dyDescent="0.25">
      <c r="A7" s="143" t="str">
        <f>"Estimated Existing EAV Value for "&amp; Input!C9&amp;" "</f>
        <v xml:space="preserve">Estimated Existing EAV Value for 2024 </v>
      </c>
      <c r="B7" s="153">
        <f>Calculations!$H$6</f>
        <v>0</v>
      </c>
      <c r="C7" s="156"/>
      <c r="D7" s="156"/>
      <c r="E7" s="156"/>
      <c r="F7" s="156"/>
      <c r="G7" s="156"/>
      <c r="H7" s="156"/>
      <c r="I7" s="156"/>
      <c r="J7" s="156"/>
      <c r="K7" s="156"/>
      <c r="L7" s="149"/>
      <c r="M7" s="149"/>
      <c r="N7" s="156"/>
      <c r="O7" s="156"/>
      <c r="Q7" s="151"/>
      <c r="AB7" s="136" t="s">
        <v>114</v>
      </c>
    </row>
    <row r="8" spans="1:28" ht="15.75" x14ac:dyDescent="0.2">
      <c r="A8" s="154"/>
      <c r="B8" s="155"/>
      <c r="C8" s="156"/>
      <c r="D8" s="156"/>
      <c r="E8" s="156"/>
      <c r="F8" s="156"/>
      <c r="G8" s="156"/>
      <c r="H8" s="156"/>
      <c r="I8" s="156"/>
      <c r="J8" s="156"/>
      <c r="K8" s="156"/>
      <c r="L8" s="149" t="str">
        <f>"Estimated "&amp;Input!C9&amp;" Fair Cash Value Home"</f>
        <v>Estimated 2024 Fair Cash Value Home</v>
      </c>
      <c r="M8" s="153">
        <f>M6*(1+B6)</f>
        <v>0</v>
      </c>
      <c r="N8" s="157" t="s">
        <v>115</v>
      </c>
      <c r="O8" s="156"/>
      <c r="Q8" s="151"/>
      <c r="X8" s="136" t="s">
        <v>105</v>
      </c>
      <c r="Y8" s="175">
        <v>0.1</v>
      </c>
      <c r="Z8" s="136">
        <v>3.0163000000000002</v>
      </c>
      <c r="AA8" s="136">
        <v>10000</v>
      </c>
      <c r="AB8" s="136">
        <v>10000</v>
      </c>
    </row>
    <row r="9" spans="1:28" ht="15.75" x14ac:dyDescent="0.25">
      <c r="A9" s="143" t="str">
        <f>Input!B38</f>
        <v xml:space="preserve">Estimated New Property for 2024 </v>
      </c>
      <c r="B9" s="153">
        <f>Calculations!$H$8</f>
        <v>0</v>
      </c>
      <c r="C9" s="156"/>
      <c r="D9" s="156"/>
      <c r="E9" s="156"/>
      <c r="F9" s="156"/>
      <c r="G9" s="156"/>
      <c r="H9" s="156"/>
      <c r="I9" s="156"/>
      <c r="J9" s="156"/>
      <c r="K9" s="156"/>
      <c r="L9" s="149"/>
      <c r="M9" s="149"/>
      <c r="N9" s="157"/>
      <c r="O9" s="156"/>
      <c r="Q9" s="151"/>
      <c r="X9" s="136" t="s">
        <v>107</v>
      </c>
      <c r="Y9" s="175">
        <f>((1/3)*100)%</f>
        <v>0.33333333333333326</v>
      </c>
      <c r="Z9" s="136">
        <v>1</v>
      </c>
      <c r="AA9" s="136">
        <v>8000</v>
      </c>
      <c r="AB9" s="136">
        <v>6000</v>
      </c>
    </row>
    <row r="10" spans="1:28" ht="15.75" hidden="1" x14ac:dyDescent="0.25">
      <c r="A10" s="143"/>
      <c r="B10" s="153"/>
      <c r="C10" s="156"/>
      <c r="D10" s="156"/>
      <c r="E10" s="156"/>
      <c r="F10" s="156"/>
      <c r="G10" s="156"/>
      <c r="H10" s="156"/>
      <c r="I10" s="156"/>
      <c r="J10" s="156"/>
      <c r="K10" s="156"/>
      <c r="L10" s="149"/>
      <c r="M10" s="149"/>
      <c r="N10" s="157"/>
      <c r="O10" s="156"/>
      <c r="Q10" s="151"/>
      <c r="Y10" s="175"/>
    </row>
    <row r="11" spans="1:28" ht="15.75" x14ac:dyDescent="0.25">
      <c r="A11" s="143" t="str">
        <f>Input!B40</f>
        <v xml:space="preserve">Estimated Total EAV for 2024 </v>
      </c>
      <c r="B11" s="153">
        <f>B7+B9</f>
        <v>0</v>
      </c>
      <c r="C11" s="157" t="s">
        <v>36</v>
      </c>
      <c r="D11" s="156"/>
      <c r="E11" s="156"/>
      <c r="F11" s="156"/>
      <c r="G11" s="156"/>
      <c r="H11" s="156"/>
      <c r="I11" s="156"/>
      <c r="J11" s="156"/>
      <c r="K11" s="156"/>
      <c r="L11" s="149" t="s">
        <v>116</v>
      </c>
      <c r="M11" s="153">
        <f>M8*N11</f>
        <v>0</v>
      </c>
      <c r="N11" s="159">
        <f>IF(Input!$C$13="Cook",'Tax Calculator - Calculations'!Y8,'Tax Calculator - Calculations'!Y9)</f>
        <v>0.33333333333333326</v>
      </c>
      <c r="O11" s="156"/>
      <c r="X11" s="136" t="s">
        <v>111</v>
      </c>
      <c r="Y11" s="175"/>
      <c r="AA11" s="136">
        <v>8000</v>
      </c>
    </row>
    <row r="12" spans="1:28" ht="15.75" customHeight="1" x14ac:dyDescent="0.2">
      <c r="A12" s="156"/>
      <c r="B12" s="156"/>
      <c r="C12" s="156"/>
      <c r="D12" s="156"/>
      <c r="E12" s="156"/>
      <c r="F12" s="156"/>
      <c r="G12" s="156"/>
      <c r="H12" s="156"/>
      <c r="I12" s="156"/>
      <c r="J12" s="156"/>
      <c r="K12" s="156"/>
      <c r="L12" s="149" t="s">
        <v>117</v>
      </c>
      <c r="M12" s="153">
        <f>M11*N12</f>
        <v>0</v>
      </c>
      <c r="N12" s="160">
        <f>IF(Input!$C$13="Cook",'Tax Calculator - Calculations'!Z8,'Tax Calculator - Calculations'!Z9)</f>
        <v>1</v>
      </c>
      <c r="O12" s="156"/>
      <c r="X12" s="136" t="s">
        <v>118</v>
      </c>
      <c r="Y12" s="175"/>
      <c r="AA12" s="136">
        <v>8000</v>
      </c>
    </row>
    <row r="13" spans="1:28" ht="15.75" x14ac:dyDescent="0.2">
      <c r="A13" s="149" t="str">
        <f>Input!$C$9-1&amp;" Operating Rate"</f>
        <v>2023 Operating Rate</v>
      </c>
      <c r="B13" s="161" t="e">
        <f>(Input!D68/Input!C30)*100</f>
        <v>#DIV/0!</v>
      </c>
      <c r="C13" s="156"/>
      <c r="D13" s="156"/>
      <c r="E13" s="156"/>
      <c r="F13" s="156"/>
      <c r="G13" s="156"/>
      <c r="H13" s="156"/>
      <c r="I13" s="156"/>
      <c r="J13" s="156"/>
      <c r="K13" s="156"/>
      <c r="L13" s="156"/>
      <c r="M13" s="156"/>
      <c r="N13" s="156"/>
      <c r="O13" s="156"/>
      <c r="X13" s="136" t="s">
        <v>119</v>
      </c>
      <c r="Y13" s="175"/>
      <c r="AA13" s="136">
        <v>8000</v>
      </c>
    </row>
    <row r="14" spans="1:28" ht="15.75" x14ac:dyDescent="0.2">
      <c r="A14" s="149" t="str">
        <f>"Estimated "&amp;Input!$C$9&amp;" Operating Rate"</f>
        <v>Estimated 2024 Operating Rate</v>
      </c>
      <c r="B14" s="161" t="e">
        <f>IF(Input!C19="Yes",IF(Calculations!J33/'Tax Calculator - Calculations'!B11*100&gt;Calculations!B9,Calculations!B9,Calculations!J33/'Tax Calculator - Calculations'!B11*100),(IF(Calculations!J14&gt;Calculations!F14,Calculations!F14,Calculations!J14)+IF(Calculations!J15&gt;Calculations!F15,Calculations!F15,Calculations!J15)+IF(Calculations!J16&gt;Calculations!F16,Calculations!F16,Calculations!J16)+IF(Calculations!J17&gt;Calculations!F17,Calculations!F17,Calculations!J17)+IF(Calculations!J22&gt;Calculations!F22,Calculations!F22,Calculations!J22)+IF(Calculations!J24&gt;Calculations!F24,Calculations!F24,Calculations!J24)+IF(Calculations!J25&gt;Calculations!F25,Calculations!F25,Calculations!J25)+IF(Calculations!J28&gt;Calculations!F28,Calculations!F28,Calculations!J28)+IF(Calculations!J29&gt;Calculations!F29,Calculations!F29,Calculations!J29)+IF(Calculations!J30&gt;Calculations!F30,Calculations!F30,Calculations!J30)+Calculations!J18+Calculations!J19+Calculations!J20+Calculations!J21+Calculations!J23)/B11*100)</f>
        <v>#DIV/0!</v>
      </c>
      <c r="C14" s="230"/>
      <c r="D14" s="156"/>
      <c r="E14" s="156"/>
      <c r="F14" s="156"/>
      <c r="G14" s="156"/>
      <c r="H14" s="156"/>
      <c r="I14" s="156"/>
      <c r="J14" s="156"/>
      <c r="K14" s="11"/>
      <c r="L14" s="11"/>
      <c r="M14" s="11"/>
      <c r="N14" s="285" t="s">
        <v>120</v>
      </c>
      <c r="O14" s="285"/>
      <c r="P14" s="163"/>
      <c r="X14" s="136" t="s">
        <v>106</v>
      </c>
      <c r="Y14" s="175"/>
      <c r="AA14" s="136">
        <v>8000</v>
      </c>
    </row>
    <row r="15" spans="1:28" ht="15.75" customHeight="1" thickBot="1" x14ac:dyDescent="0.25">
      <c r="A15" s="149" t="str">
        <f>"Estimated "&amp;Input!C9&amp;" Bond &amp; Interest Tax Rate"</f>
        <v>Estimated 2024 Bond &amp; Interest Tax Rate</v>
      </c>
      <c r="B15" s="161" t="e">
        <f>((Calculations!G42*(1+B17)/B11*100)+0.0000001)</f>
        <v>#DIV/0!</v>
      </c>
      <c r="C15" s="157" t="s">
        <v>121</v>
      </c>
      <c r="D15" s="156"/>
      <c r="E15" s="156"/>
      <c r="F15" s="156"/>
      <c r="G15" s="156"/>
      <c r="H15" s="156"/>
      <c r="I15" s="156"/>
      <c r="J15" s="156"/>
      <c r="K15" s="156"/>
      <c r="L15" s="149" t="s">
        <v>151</v>
      </c>
      <c r="M15" s="162">
        <f>IF(Input!$C$13="Cook",'Tax Calculator - Calculations'!AA8,IF(Input!$C$13="DuPage",'Tax Calculator - Calculations'!AA9,IF(Input!C13="Lake",'Tax Calculator - Calculations'!AA11,IF(Input!C13="McHenry",'Tax Calculator - Calculations'!AA12,IF(Input!C13="Kane",'Tax Calculator - Calculations'!AA13,IF(Input!C13="Will",'Tax Calculator - Calculations'!AA14,AA15))))))</f>
        <v>6000</v>
      </c>
      <c r="N15" s="285"/>
      <c r="O15" s="285"/>
      <c r="P15" s="163"/>
      <c r="AA15" s="136">
        <v>6000</v>
      </c>
    </row>
    <row r="16" spans="1:28" ht="16.149999999999999" customHeight="1" x14ac:dyDescent="0.2">
      <c r="A16" s="149"/>
      <c r="B16" s="149"/>
      <c r="C16" s="169"/>
      <c r="D16" s="169"/>
      <c r="E16" s="286" t="s">
        <v>130</v>
      </c>
      <c r="F16" s="287"/>
      <c r="G16" s="288"/>
      <c r="I16" s="156"/>
      <c r="J16" s="156"/>
      <c r="K16" s="156"/>
      <c r="L16" s="156"/>
      <c r="M16" s="156"/>
      <c r="N16" s="164"/>
      <c r="O16" s="164"/>
    </row>
    <row r="17" spans="1:15" ht="16.149999999999999" customHeight="1" x14ac:dyDescent="0.2">
      <c r="A17" s="149" t="s">
        <v>122</v>
      </c>
      <c r="B17" s="165"/>
      <c r="D17" s="169"/>
      <c r="E17" s="289"/>
      <c r="F17" s="290"/>
      <c r="G17" s="291"/>
      <c r="I17" s="156"/>
      <c r="J17" s="156"/>
      <c r="K17" s="156"/>
      <c r="L17" s="149" t="s">
        <v>123</v>
      </c>
      <c r="M17" s="162">
        <f>M12-M15</f>
        <v>-6000</v>
      </c>
      <c r="N17" s="166"/>
      <c r="O17" s="167"/>
    </row>
    <row r="18" spans="1:15" ht="16.149999999999999" customHeight="1" thickBot="1" x14ac:dyDescent="0.25">
      <c r="A18" s="156"/>
      <c r="E18" s="292"/>
      <c r="F18" s="293"/>
      <c r="G18" s="294"/>
      <c r="I18" s="156"/>
      <c r="J18" s="156"/>
      <c r="K18" s="156"/>
      <c r="L18" s="156"/>
      <c r="M18" s="156"/>
      <c r="N18" s="156"/>
      <c r="O18" s="156"/>
    </row>
    <row r="19" spans="1:15" ht="15.75" x14ac:dyDescent="0.2">
      <c r="A19" s="149" t="s">
        <v>124</v>
      </c>
      <c r="B19" s="168"/>
      <c r="C19" s="169" t="s">
        <v>125</v>
      </c>
      <c r="D19" s="156"/>
      <c r="E19" s="156"/>
      <c r="F19" s="156"/>
      <c r="G19" s="156"/>
      <c r="H19" s="156"/>
      <c r="I19" s="156"/>
      <c r="J19" s="156"/>
      <c r="K19" s="156"/>
      <c r="L19" s="149" t="str">
        <f>"Estimated Change in Tax Payment for "&amp; Input!C9</f>
        <v>Estimated Change in Tax Payment for 2024</v>
      </c>
      <c r="M19" s="162" t="e">
        <f>(M17*(B27)/100)-(((((M6*N11)*IF(Input!C13="Cook",Z7,Z9))-M15)*(B28)/100))</f>
        <v>#DIV/0!</v>
      </c>
      <c r="N19" s="156"/>
      <c r="O19" s="156"/>
    </row>
    <row r="20" spans="1:15" ht="15.75" x14ac:dyDescent="0.2">
      <c r="A20" s="149" t="s">
        <v>126</v>
      </c>
      <c r="B20" s="161" t="e">
        <f>((B19*(1+B17))/B11*100)</f>
        <v>#DIV/0!</v>
      </c>
      <c r="C20" s="169" t="s">
        <v>127</v>
      </c>
      <c r="D20" s="156"/>
      <c r="E20" s="156"/>
      <c r="F20" s="156"/>
      <c r="G20" s="156"/>
      <c r="H20" s="156"/>
      <c r="I20" s="156"/>
      <c r="J20" s="156"/>
      <c r="K20" s="156"/>
      <c r="L20" s="156"/>
      <c r="M20" s="156"/>
      <c r="N20" s="156"/>
      <c r="O20" s="156"/>
    </row>
    <row r="21" spans="1:15" ht="15.75" customHeight="1" x14ac:dyDescent="0.2">
      <c r="A21" s="149"/>
      <c r="B21" s="149"/>
      <c r="C21" s="169"/>
      <c r="D21" s="156"/>
      <c r="E21" s="156"/>
      <c r="F21" s="156"/>
      <c r="G21" s="156"/>
      <c r="H21" s="156"/>
      <c r="I21" s="170" t="str">
        <f>"Note, the calculator is intended to estimate the "&amp;Input!C11&amp;" portion of the tax bill."</f>
        <v>Note, the calculator is intended to estimate the  portion of the tax bill.</v>
      </c>
      <c r="J21" s="170"/>
      <c r="K21" s="170"/>
      <c r="L21" s="170"/>
      <c r="M21" s="170"/>
      <c r="N21" s="170"/>
      <c r="O21" s="156"/>
    </row>
    <row r="22" spans="1:15" ht="15.75" customHeight="1" x14ac:dyDescent="0.2">
      <c r="A22" s="149" t="str">
        <f>"Net "&amp;Input!$C$9&amp;" B&amp;I Tax Rate"</f>
        <v>Net 2024 B&amp;I Tax Rate</v>
      </c>
      <c r="B22" s="161" t="e">
        <f>(IF(B15&gt;B20,B15-B20,"Check Abatement"))</f>
        <v>#DIV/0!</v>
      </c>
      <c r="C22" s="156"/>
      <c r="D22" s="156"/>
      <c r="E22" s="156"/>
      <c r="F22" s="156"/>
      <c r="G22" s="156"/>
      <c r="H22" s="156"/>
      <c r="I22" s="295" t="s">
        <v>164</v>
      </c>
      <c r="J22" s="295"/>
      <c r="K22" s="295"/>
      <c r="L22" s="295"/>
      <c r="M22" s="295"/>
      <c r="N22" s="295"/>
      <c r="O22" s="295"/>
    </row>
    <row r="23" spans="1:15" ht="18.75" customHeight="1" x14ac:dyDescent="0.2">
      <c r="A23" s="149"/>
      <c r="B23" s="149"/>
      <c r="C23" s="169"/>
      <c r="D23" s="156"/>
      <c r="E23" s="156"/>
      <c r="F23" s="156"/>
      <c r="G23" s="156"/>
      <c r="H23" s="156"/>
      <c r="I23" s="295"/>
      <c r="J23" s="295"/>
      <c r="K23" s="295"/>
      <c r="L23" s="295"/>
      <c r="M23" s="295"/>
      <c r="N23" s="295"/>
      <c r="O23" s="295"/>
    </row>
    <row r="24" spans="1:15" s="136" customFormat="1" ht="16.5" customHeight="1" x14ac:dyDescent="0.25">
      <c r="A24" s="143" t="s">
        <v>131</v>
      </c>
      <c r="B24" s="161" t="e">
        <f>MIN((Calculations!F37),Calculations!G37)/'Tax Calculator - Calculations'!$B$11*100</f>
        <v>#DIV/0!</v>
      </c>
      <c r="C24" s="169"/>
      <c r="D24" s="156"/>
      <c r="E24" s="156"/>
      <c r="F24" s="156"/>
      <c r="G24" s="156"/>
      <c r="H24" s="156"/>
      <c r="I24" s="295"/>
      <c r="J24" s="295"/>
      <c r="K24" s="295"/>
      <c r="L24" s="295"/>
      <c r="M24" s="295"/>
      <c r="N24" s="295"/>
      <c r="O24" s="295"/>
    </row>
    <row r="25" spans="1:15" s="136" customFormat="1" ht="16.5" customHeight="1" x14ac:dyDescent="0.25">
      <c r="A25" s="198" t="s">
        <v>132</v>
      </c>
      <c r="B25" s="232" t="e">
        <f>MIN((Calculations!F40),Calculations!G40)/'Tax Calculator - Calculations'!$B$11*100</f>
        <v>#DIV/0!</v>
      </c>
      <c r="C25" s="169"/>
      <c r="D25" s="156"/>
      <c r="E25" s="156"/>
      <c r="F25" s="156"/>
      <c r="G25" s="156"/>
      <c r="H25" s="156"/>
      <c r="I25" s="170"/>
      <c r="J25" s="170"/>
      <c r="K25" s="170"/>
      <c r="L25" s="170"/>
      <c r="M25" s="170"/>
      <c r="N25" s="170"/>
      <c r="O25" s="170"/>
    </row>
    <row r="26" spans="1:15" s="136" customFormat="1" x14ac:dyDescent="0.2">
      <c r="A26" s="156"/>
      <c r="B26" s="172"/>
      <c r="C26" s="156"/>
      <c r="D26" s="156"/>
      <c r="E26" s="156"/>
      <c r="F26" s="156"/>
      <c r="G26" s="156"/>
      <c r="H26" s="156"/>
      <c r="I26" s="170"/>
      <c r="J26" s="170"/>
      <c r="K26" s="170"/>
      <c r="L26" s="170"/>
      <c r="M26" s="170"/>
      <c r="N26" s="170"/>
      <c r="O26" s="170"/>
    </row>
    <row r="27" spans="1:15" s="136" customFormat="1" ht="15.75" x14ac:dyDescent="0.2">
      <c r="A27" s="149" t="str">
        <f>"Total "&amp;Input!$C$9&amp;" Tax Rate"</f>
        <v>Total 2024 Tax Rate</v>
      </c>
      <c r="B27" s="161" t="e">
        <f>B22+B14+B24+B25</f>
        <v>#DIV/0!</v>
      </c>
      <c r="C27" s="156"/>
      <c r="D27" s="156"/>
      <c r="E27" s="156"/>
      <c r="F27" s="156"/>
      <c r="G27" s="156"/>
      <c r="H27" s="156"/>
      <c r="I27" s="170"/>
      <c r="J27" s="170"/>
      <c r="K27" s="170"/>
      <c r="L27" s="170"/>
      <c r="M27" s="170"/>
      <c r="N27" s="170"/>
      <c r="O27" s="170"/>
    </row>
    <row r="28" spans="1:15" s="136" customFormat="1" ht="15.75" x14ac:dyDescent="0.2">
      <c r="A28" s="149" t="s">
        <v>128</v>
      </c>
      <c r="B28" s="161" t="e">
        <f>Input!D76/Input!C30*100</f>
        <v>#DIV/0!</v>
      </c>
      <c r="C28" s="156"/>
      <c r="D28" s="156"/>
      <c r="E28" s="156"/>
      <c r="F28" s="156"/>
      <c r="G28" s="156"/>
      <c r="H28" s="156"/>
      <c r="I28" s="174"/>
      <c r="J28" s="174"/>
      <c r="K28" s="174"/>
      <c r="L28" s="174"/>
      <c r="M28" s="174"/>
      <c r="N28" s="174"/>
      <c r="O28" s="171"/>
    </row>
    <row r="29" spans="1:15" s="136" customFormat="1" ht="15.75" x14ac:dyDescent="0.2">
      <c r="A29" s="149"/>
      <c r="B29" s="149"/>
      <c r="C29" s="156"/>
      <c r="D29" s="156"/>
      <c r="E29" s="156"/>
      <c r="F29" s="156"/>
      <c r="G29" s="156"/>
      <c r="H29" s="156"/>
      <c r="I29" s="174"/>
      <c r="J29" s="174"/>
      <c r="K29" s="174"/>
      <c r="L29" s="174"/>
      <c r="M29" s="174"/>
      <c r="N29" s="174"/>
      <c r="O29" s="171"/>
    </row>
    <row r="30" spans="1:15" s="136" customFormat="1" hidden="1" x14ac:dyDescent="0.2"/>
    <row r="31" spans="1:15" s="136" customFormat="1" hidden="1" x14ac:dyDescent="0.2"/>
    <row r="32" spans="1:15" s="136" customFormat="1" hidden="1" x14ac:dyDescent="0.2"/>
    <row r="33" s="136" customFormat="1" hidden="1" x14ac:dyDescent="0.2"/>
    <row r="34" s="136" customFormat="1" hidden="1" x14ac:dyDescent="0.2"/>
    <row r="35" s="136" customFormat="1" hidden="1" x14ac:dyDescent="0.2"/>
    <row r="36" s="136" customFormat="1" hidden="1" x14ac:dyDescent="0.2"/>
    <row r="37" s="136" customFormat="1" hidden="1" x14ac:dyDescent="0.2"/>
    <row r="38" s="136" customFormat="1" hidden="1" x14ac:dyDescent="0.2"/>
    <row r="39" s="136" customFormat="1" hidden="1" x14ac:dyDescent="0.2"/>
    <row r="40" s="136" customFormat="1" hidden="1" x14ac:dyDescent="0.2"/>
    <row r="41" s="136" customFormat="1" hidden="1" x14ac:dyDescent="0.2"/>
    <row r="42" s="136" customFormat="1" hidden="1" x14ac:dyDescent="0.2"/>
    <row r="43" s="136" customFormat="1" hidden="1" x14ac:dyDescent="0.2"/>
    <row r="44" s="136" customFormat="1" hidden="1" x14ac:dyDescent="0.2"/>
    <row r="45" s="136" customFormat="1" hidden="1" x14ac:dyDescent="0.2"/>
    <row r="46" s="136" customFormat="1" hidden="1" x14ac:dyDescent="0.2"/>
    <row r="47" s="136" customFormat="1" hidden="1" x14ac:dyDescent="0.2"/>
    <row r="48" s="136" customFormat="1" hidden="1" x14ac:dyDescent="0.2"/>
    <row r="49" s="136" customFormat="1" hidden="1" x14ac:dyDescent="0.2"/>
    <row r="50" s="136" customFormat="1" hidden="1" x14ac:dyDescent="0.2"/>
    <row r="51" s="136" customFormat="1" hidden="1" x14ac:dyDescent="0.2"/>
    <row r="52" s="136" customFormat="1" hidden="1" x14ac:dyDescent="0.2"/>
    <row r="53" s="136" customFormat="1" hidden="1" x14ac:dyDescent="0.2"/>
    <row r="54" s="136" customFormat="1" hidden="1" x14ac:dyDescent="0.2"/>
    <row r="55" s="136" customFormat="1" hidden="1" x14ac:dyDescent="0.2"/>
    <row r="56" s="136" customFormat="1" hidden="1" x14ac:dyDescent="0.2"/>
    <row r="57" s="136" customFormat="1" hidden="1" x14ac:dyDescent="0.2"/>
    <row r="58" s="136" customFormat="1" hidden="1" x14ac:dyDescent="0.2"/>
    <row r="59" s="136" customFormat="1" hidden="1" x14ac:dyDescent="0.2"/>
    <row r="60" s="136" customFormat="1" hidden="1" x14ac:dyDescent="0.2"/>
    <row r="61" s="136" customFormat="1" hidden="1" x14ac:dyDescent="0.2"/>
    <row r="62" s="136" customFormat="1" hidden="1" x14ac:dyDescent="0.2"/>
    <row r="63" s="136" customFormat="1" hidden="1" x14ac:dyDescent="0.2"/>
    <row r="64" s="136" customFormat="1" hidden="1" x14ac:dyDescent="0.2"/>
    <row r="65" s="136" customFormat="1" hidden="1" x14ac:dyDescent="0.2"/>
    <row r="66" s="136" customFormat="1" hidden="1" x14ac:dyDescent="0.2"/>
    <row r="67" s="136" customFormat="1" hidden="1" x14ac:dyDescent="0.2"/>
    <row r="68" s="136" customFormat="1" hidden="1" x14ac:dyDescent="0.2"/>
    <row r="69" s="136" customFormat="1" hidden="1" x14ac:dyDescent="0.2"/>
    <row r="70" s="136" customFormat="1" hidden="1" x14ac:dyDescent="0.2"/>
    <row r="71" s="136" customFormat="1" hidden="1" x14ac:dyDescent="0.2"/>
    <row r="72" s="136" customFormat="1" hidden="1" x14ac:dyDescent="0.2"/>
    <row r="73" s="136" customFormat="1" hidden="1" x14ac:dyDescent="0.2"/>
    <row r="74" s="136" customFormat="1" hidden="1" x14ac:dyDescent="0.2"/>
    <row r="75" s="136" customFormat="1" hidden="1" x14ac:dyDescent="0.2"/>
    <row r="76" s="136" customFormat="1" hidden="1" x14ac:dyDescent="0.2"/>
    <row r="77" s="136" customFormat="1" hidden="1" x14ac:dyDescent="0.2"/>
    <row r="78" s="136" customFormat="1" hidden="1" x14ac:dyDescent="0.2"/>
    <row r="79" s="136" customFormat="1" hidden="1" x14ac:dyDescent="0.2"/>
    <row r="80" s="136" customFormat="1" hidden="1" x14ac:dyDescent="0.2"/>
    <row r="81" spans="1:8" s="136" customFormat="1" hidden="1" x14ac:dyDescent="0.2"/>
    <row r="82" spans="1:8" s="136" customFormat="1" hidden="1" x14ac:dyDescent="0.2"/>
    <row r="83" spans="1:8" s="136" customFormat="1" hidden="1" x14ac:dyDescent="0.2"/>
    <row r="84" spans="1:8" s="136" customFormat="1" hidden="1" x14ac:dyDescent="0.2"/>
    <row r="85" spans="1:8" s="136" customFormat="1" hidden="1" x14ac:dyDescent="0.2"/>
    <row r="86" spans="1:8" s="136" customFormat="1" hidden="1" x14ac:dyDescent="0.2"/>
    <row r="87" spans="1:8" s="136" customFormat="1" hidden="1" x14ac:dyDescent="0.2"/>
    <row r="88" spans="1:8" s="136" customFormat="1" hidden="1" x14ac:dyDescent="0.2">
      <c r="D88" s="133"/>
      <c r="E88" s="133"/>
      <c r="F88" s="133"/>
      <c r="G88" s="133"/>
      <c r="H88" s="133"/>
    </row>
    <row r="89" spans="1:8" s="136" customFormat="1" hidden="1" x14ac:dyDescent="0.2">
      <c r="A89" s="133"/>
      <c r="B89" s="133"/>
      <c r="C89" s="133"/>
      <c r="D89" s="133"/>
      <c r="E89" s="133"/>
      <c r="F89" s="133"/>
      <c r="G89" s="133"/>
      <c r="H89" s="133"/>
    </row>
  </sheetData>
  <sheetProtection algorithmName="SHA-512" hashValue="SK0w3W8tAzBNueHqzViXob3Qwt3fCQDRqJESWQ7R5Iismv0Z6enmPOvJ7mvmEaHk1EgcdnrP13C7KWO+xsCxww==" saltValue="jcSpemqprkXRWqF3rUpQOA==" spinCount="100000" sheet="1" objects="1" scenarios="1"/>
  <mergeCells count="4">
    <mergeCell ref="A2:B2"/>
    <mergeCell ref="N14:O15"/>
    <mergeCell ref="E16:G18"/>
    <mergeCell ref="I22:O24"/>
  </mergeCells>
  <conditionalFormatting sqref="L6:L12 M7 M9:M10 A13:A17 L15 B16 L17 A19:A23 B21 B23 A27:A29 B29">
    <cfRule type="expression" dxfId="102" priority="5" stopIfTrue="1">
      <formula>$B$20="N/A"</formula>
    </cfRule>
  </conditionalFormatting>
  <conditionalFormatting sqref="L19">
    <cfRule type="expression" dxfId="101" priority="4" stopIfTrue="1">
      <formula>$B$20="N/A"</formula>
    </cfRule>
  </conditionalFormatting>
  <pageMargins left="0.7" right="0.7" top="0.75" bottom="0.75" header="0.3" footer="0.3"/>
  <pageSetup orientation="portrait" horizontalDpi="200" verticalDpi="200" r:id="rId1"/>
  <drawing r:id="rId2"/>
  <extLst>
    <ext xmlns:x14="http://schemas.microsoft.com/office/spreadsheetml/2009/9/main" uri="{78C0D931-6437-407d-A8EE-F0AAD7539E65}">
      <x14:conditionalFormattings>
        <x14:conditionalFormatting xmlns:xm="http://schemas.microsoft.com/office/excel/2006/main">
          <x14:cfRule type="expression" priority="2" id="{ADAF7A57-971A-4D68-8319-0805FCB96400}">
            <xm:f>Input!$C$19="No"</xm:f>
            <x14:dxf>
              <font>
                <color theme="0"/>
              </font>
              <fill>
                <patternFill patternType="none">
                  <bgColor auto="1"/>
                </patternFill>
              </fill>
              <border>
                <left/>
                <right/>
                <top/>
                <bottom/>
                <vertical/>
                <horizontal/>
              </border>
            </x14:dxf>
          </x14:cfRule>
          <xm:sqref>A9:B9</xm:sqref>
        </x14:conditionalFormatting>
        <x14:conditionalFormatting xmlns:xm="http://schemas.microsoft.com/office/excel/2006/main">
          <x14:cfRule type="cellIs" priority="3" operator="between" id="{E710366F-7F98-42B1-AEBA-AC4B51B100BE}">
            <xm:f>0</xm:f>
            <xm:f>Calculations!$G$42</xm:f>
            <x14:dxf>
              <fill>
                <patternFill>
                  <bgColor rgb="FFCCFFCC"/>
                </patternFill>
              </fill>
            </x14:dxf>
          </x14:cfRule>
          <xm:sqref>B19</xm:sqref>
        </x14:conditionalFormatting>
        <x14:conditionalFormatting xmlns:xm="http://schemas.microsoft.com/office/excel/2006/main">
          <x14:cfRule type="expression" priority="1" id="{94AD9BF5-8701-460B-80CC-93248CC0D066}">
            <xm:f>Input!$C$19="No"</xm:f>
            <x14:dxf>
              <font>
                <color theme="0"/>
              </font>
            </x14:dxf>
          </x14:cfRule>
          <xm:sqref>C11</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tabColor theme="5" tint="0.39997558519241921"/>
    <pageSetUpPr fitToPage="1"/>
  </sheetPr>
  <dimension ref="A1:N48"/>
  <sheetViews>
    <sheetView showGridLines="0" zoomScaleNormal="100" workbookViewId="0">
      <selection activeCell="F31" sqref="F31"/>
    </sheetView>
  </sheetViews>
  <sheetFormatPr defaultColWidth="0" defaultRowHeight="0" customHeight="1" zeroHeight="1" x14ac:dyDescent="0.2"/>
  <cols>
    <col min="1" max="1" width="30" style="1" customWidth="1"/>
    <col min="2" max="2" width="16.5703125" style="1" customWidth="1"/>
    <col min="3" max="3" width="11.85546875" style="1" customWidth="1"/>
    <col min="4" max="4" width="2.42578125" style="1" customWidth="1"/>
    <col min="5" max="5" width="15.140625" style="1" customWidth="1"/>
    <col min="6" max="6" width="13.7109375" style="1" customWidth="1"/>
    <col min="7" max="7" width="14.5703125" style="1" customWidth="1"/>
    <col min="8" max="8" width="17.7109375" style="1" customWidth="1"/>
    <col min="9" max="9" width="17.5703125" style="1" customWidth="1"/>
    <col min="10" max="10" width="13.85546875" style="1" customWidth="1"/>
    <col min="11" max="11" width="2.85546875" style="1" customWidth="1"/>
    <col min="12" max="12" width="15.28515625" style="1" customWidth="1"/>
    <col min="13" max="13" width="16.85546875" style="1" customWidth="1"/>
    <col min="14" max="14" width="16" style="1" customWidth="1"/>
    <col min="15" max="15" width="0.85546875" style="1" customWidth="1"/>
    <col min="16" max="16384" width="0" style="1" hidden="1"/>
  </cols>
  <sheetData>
    <row r="1" spans="1:14" ht="18.75" customHeight="1" thickBot="1" x14ac:dyDescent="0.3">
      <c r="I1" s="118" t="s">
        <v>33</v>
      </c>
      <c r="L1" s="71"/>
      <c r="M1" s="84" t="s">
        <v>32</v>
      </c>
      <c r="N1" s="71"/>
    </row>
    <row r="2" spans="1:14" ht="18.75" x14ac:dyDescent="0.3">
      <c r="A2" s="296" t="str">
        <f>Input!$C$9&amp;" TAX EXTENSION WORKSHEET"</f>
        <v>2024 TAX EXTENSION WORKSHEET</v>
      </c>
      <c r="B2" s="296"/>
      <c r="C2" s="296"/>
      <c r="F2" s="73"/>
      <c r="G2" s="73"/>
      <c r="H2" s="73" t="str">
        <f>"Estimated % Change to Existing EAV for "&amp;Input!$C$9&amp;" "</f>
        <v xml:space="preserve">Estimated % Change to Existing EAV for 2024 </v>
      </c>
      <c r="I2" s="85">
        <f>IF(Input!C19="Yes",Input!C34,Input!C41)</f>
        <v>0</v>
      </c>
      <c r="L2" s="83"/>
      <c r="M2" s="100" t="s">
        <v>30</v>
      </c>
      <c r="N2" s="82"/>
    </row>
    <row r="3" spans="1:14" ht="15.75" x14ac:dyDescent="0.25">
      <c r="F3" s="73"/>
      <c r="G3" s="73"/>
      <c r="H3" s="73" t="str">
        <f>"Estimated New Property for "&amp;Input!$C$9&amp;" "</f>
        <v xml:space="preserve">Estimated New Property for 2024 </v>
      </c>
      <c r="I3" s="53">
        <f>Input!$C$38</f>
        <v>0</v>
      </c>
      <c r="L3" s="68"/>
      <c r="M3" s="98" t="s">
        <v>31</v>
      </c>
      <c r="N3" s="69"/>
    </row>
    <row r="4" spans="1:14" ht="16.5" thickBot="1" x14ac:dyDescent="0.3">
      <c r="F4" s="72"/>
      <c r="G4" s="72"/>
      <c r="H4" s="73" t="str">
        <f>"Estimated Total EAV for "&amp;Input!$C$9&amp;" "</f>
        <v xml:space="preserve">Estimated Total EAV for 2024 </v>
      </c>
      <c r="I4" s="90">
        <f>Input!$C$40</f>
        <v>0</v>
      </c>
      <c r="J4" s="50"/>
      <c r="L4" s="91"/>
      <c r="M4" s="99" t="s">
        <v>35</v>
      </c>
      <c r="N4" s="92"/>
    </row>
    <row r="5" spans="1:14" ht="15.75" x14ac:dyDescent="0.25">
      <c r="F5" s="73"/>
      <c r="G5" s="73"/>
      <c r="H5" s="73" t="str">
        <f>"Estimated Total EAV Change for "&amp;Input!$C$9&amp;" "</f>
        <v xml:space="preserve">Estimated Total EAV Change for 2024 </v>
      </c>
      <c r="I5" s="87" t="e">
        <f>Input!$C$41</f>
        <v>#DIV/0!</v>
      </c>
      <c r="J5" s="50"/>
    </row>
    <row r="6" spans="1:14" ht="12" customHeight="1" thickBot="1" x14ac:dyDescent="0.3">
      <c r="F6" s="73"/>
      <c r="G6" s="73"/>
      <c r="H6" s="73"/>
      <c r="I6" s="116"/>
      <c r="J6" s="50"/>
    </row>
    <row r="7" spans="1:14" ht="18" customHeight="1" x14ac:dyDescent="0.25">
      <c r="A7" s="271"/>
      <c r="B7" s="44"/>
      <c r="C7" s="44"/>
      <c r="D7" s="44"/>
      <c r="E7" s="44"/>
      <c r="F7" s="104"/>
      <c r="G7" s="105"/>
      <c r="H7" s="105"/>
      <c r="I7" s="117" t="s">
        <v>37</v>
      </c>
      <c r="J7" s="106"/>
      <c r="K7" s="106"/>
      <c r="L7" s="106"/>
      <c r="M7" s="106"/>
      <c r="N7" s="107"/>
    </row>
    <row r="8" spans="1:14" ht="15.75" customHeight="1" x14ac:dyDescent="0.25">
      <c r="A8" s="271"/>
      <c r="B8" s="301" t="s">
        <v>93</v>
      </c>
      <c r="C8" s="301" t="s">
        <v>94</v>
      </c>
      <c r="D8" s="301"/>
      <c r="E8" s="45"/>
      <c r="F8" s="108"/>
      <c r="G8" s="73"/>
      <c r="H8" s="73" t="str">
        <f>"Actual % Change to Existing EAV for "&amp;Input!$C$9&amp;" "</f>
        <v xml:space="preserve">Actual % Change to Existing EAV for 2024 </v>
      </c>
      <c r="I8" s="86">
        <f>Calculations!H5</f>
        <v>0</v>
      </c>
      <c r="J8" s="50" t="s">
        <v>65</v>
      </c>
      <c r="N8" s="109"/>
    </row>
    <row r="9" spans="1:14" ht="15.75" x14ac:dyDescent="0.25">
      <c r="A9" s="11"/>
      <c r="B9" s="302"/>
      <c r="C9" s="302"/>
      <c r="D9" s="302"/>
      <c r="E9" s="45"/>
      <c r="F9" s="108"/>
      <c r="G9" s="73"/>
      <c r="H9" s="73" t="str">
        <f>"Actual New Property for "&amp;Input!$C$9&amp;" "</f>
        <v xml:space="preserve">Actual New Property for 2024 </v>
      </c>
      <c r="I9" s="54">
        <f>Calculations!H8</f>
        <v>0</v>
      </c>
      <c r="J9" s="50" t="s">
        <v>66</v>
      </c>
      <c r="N9" s="109"/>
    </row>
    <row r="10" spans="1:14" ht="15.75" x14ac:dyDescent="0.25">
      <c r="A10" s="5" t="s">
        <v>54</v>
      </c>
      <c r="B10" s="93" t="e">
        <f>IF(Input!C19="Yes",Input!$D$68*(1+MIN(0.05,Input!$C$28))/(Input!$C$40-Input!$C$38)*100,"N/A")</f>
        <v>#DIV/0!</v>
      </c>
      <c r="C10" s="297" t="e">
        <f>IF(Input!C19="Yes",Input!$D$68*(1+MIN(0.05,Input!$C$28))/(I10-I9)*100,"N/A")</f>
        <v>#DIV/0!</v>
      </c>
      <c r="D10" s="298"/>
      <c r="F10" s="108"/>
      <c r="G10" s="73"/>
      <c r="H10" s="73" t="str">
        <f>"Actual Total EAV for "&amp;Input!$C$9&amp;" "</f>
        <v xml:space="preserve">Actual Total EAV for 2024 </v>
      </c>
      <c r="I10" s="90">
        <f>Input!C30*(1+Extension!I8)+Extension!I9</f>
        <v>0</v>
      </c>
      <c r="J10" s="50"/>
      <c r="N10" s="109"/>
    </row>
    <row r="11" spans="1:14" ht="15.75" x14ac:dyDescent="0.25">
      <c r="A11" s="5" t="s">
        <v>67</v>
      </c>
      <c r="B11" s="58" t="e">
        <f>IF(Input!C19="Yes",($B$10*Input!$C$40)/100,"N/A")</f>
        <v>#DIV/0!</v>
      </c>
      <c r="C11" s="299" t="e">
        <f>IF(Input!C19="Yes",($C$10*$I$10)/100,"N/A")</f>
        <v>#DIV/0!</v>
      </c>
      <c r="D11" s="300"/>
      <c r="E11" s="43"/>
      <c r="F11" s="108"/>
      <c r="G11" s="73"/>
      <c r="H11" s="73" t="str">
        <f>"Actual Total EAV Change for "&amp;Input!$C$9&amp;" "</f>
        <v xml:space="preserve">Actual Total EAV Change for 2024 </v>
      </c>
      <c r="I11" s="88" t="e">
        <f>I10/Input!$C$30-1</f>
        <v>#DIV/0!</v>
      </c>
      <c r="J11" s="50"/>
      <c r="N11" s="109"/>
    </row>
    <row r="12" spans="1:14" ht="15.75" customHeight="1" x14ac:dyDescent="0.2">
      <c r="F12" s="110"/>
      <c r="J12" s="111" t="s">
        <v>69</v>
      </c>
      <c r="N12" s="109"/>
    </row>
    <row r="13" spans="1:14" ht="15.75" x14ac:dyDescent="0.25">
      <c r="F13" s="110"/>
      <c r="H13" s="5" t="s">
        <v>68</v>
      </c>
      <c r="I13" s="56" t="e">
        <f>IF(C10&gt;G37,"N/A",$C$10/$G$37)</f>
        <v>#DIV/0!</v>
      </c>
      <c r="J13" s="123" t="str">
        <f>IF(Input!C19="No"," YES - All Available Property Tax Dollars Have Been Captured"," YES - All Available Tax Capped Dollars Have Been Captured")</f>
        <v xml:space="preserve"> YES - All Available Tax Capped Dollars Have Been Captured</v>
      </c>
      <c r="K13" s="124"/>
      <c r="L13" s="124"/>
      <c r="M13" s="124"/>
      <c r="N13" s="125"/>
    </row>
    <row r="14" spans="1:14" ht="15.75" x14ac:dyDescent="0.2">
      <c r="F14" s="110"/>
      <c r="H14" s="5" t="str">
        <f>IF(Input!C19="Yes","Amount Below Allowable PTELL ","Amount Below Available Extension ")</f>
        <v xml:space="preserve">Amount Below Allowable PTELL </v>
      </c>
      <c r="I14" s="127" t="e">
        <f>IF(Input!C19="No",IF(Extension!I37&lt;Extension!H37,Extension!I37-Extension!H37,""),IF(I13="N/A",I37-C11,""))</f>
        <v>#DIV/0!</v>
      </c>
      <c r="J14" s="121" t="e">
        <f>IF(I14&lt;0," ALERT - Levy Increase Needed to Capture All Available Property Taxes","")</f>
        <v>#DIV/0!</v>
      </c>
      <c r="N14" s="109"/>
    </row>
    <row r="15" spans="1:14" ht="12" customHeight="1" thickBot="1" x14ac:dyDescent="0.25">
      <c r="A15" s="5"/>
      <c r="B15" s="5"/>
      <c r="F15" s="112"/>
      <c r="G15" s="113"/>
      <c r="H15" s="113"/>
      <c r="I15" s="113"/>
      <c r="J15" s="114"/>
      <c r="K15" s="113"/>
      <c r="L15" s="113"/>
      <c r="M15" s="113"/>
      <c r="N15" s="115"/>
    </row>
    <row r="16" spans="1:14" ht="18" customHeight="1" x14ac:dyDescent="0.2">
      <c r="G16" s="303" t="str">
        <f>IF(Input!C19="No","Maximum Extension Factor",IF(Input!C21="no","Maximum Calculated Tax Rate","Maximum Tax Rate using Prior Year EAV"))</f>
        <v>Maximum Calculated Tax Rate</v>
      </c>
      <c r="H16" s="303" t="str">
        <f>IF(Input!C19="No","Scenario Calculated Maximum Extension ","Maximum Allowable Extension")</f>
        <v>Maximum Allowable Extension</v>
      </c>
      <c r="I16" s="303" t="str">
        <f>IF(Input!$C$19="Yes","Maximum Allowable Extension x Reduction Factor","Scenario Calculated Extension")</f>
        <v>Maximum Allowable Extension x Reduction Factor</v>
      </c>
      <c r="J16" s="303" t="s">
        <v>71</v>
      </c>
      <c r="N16" s="303" t="s">
        <v>74</v>
      </c>
    </row>
    <row r="17" spans="1:14" ht="37.9" customHeight="1" x14ac:dyDescent="0.2">
      <c r="B17" s="8" t="s">
        <v>90</v>
      </c>
      <c r="C17" s="8" t="s">
        <v>70</v>
      </c>
      <c r="E17" s="8" t="s">
        <v>76</v>
      </c>
      <c r="F17" s="8" t="s">
        <v>85</v>
      </c>
      <c r="G17" s="269"/>
      <c r="H17" s="269"/>
      <c r="I17" s="269"/>
      <c r="J17" s="269"/>
      <c r="L17" s="8" t="s">
        <v>72</v>
      </c>
      <c r="M17" s="8" t="s">
        <v>73</v>
      </c>
      <c r="N17" s="269"/>
    </row>
    <row r="18" spans="1:14" ht="15.75" x14ac:dyDescent="0.25">
      <c r="A18" s="73" t="str">
        <f>Calculations!A14</f>
        <v xml:space="preserve">Corporate </v>
      </c>
      <c r="B18" s="53" t="e">
        <f>Calculations!J14</f>
        <v>#DIV/0!</v>
      </c>
      <c r="C18" s="57">
        <v>0</v>
      </c>
      <c r="E18" s="53" t="e">
        <f>B18*(1+C18)</f>
        <v>#DIV/0!</v>
      </c>
      <c r="F18" s="94" t="e">
        <f>(E18/$I$10)*100</f>
        <v>#DIV/0!</v>
      </c>
      <c r="G18" s="94" t="e">
        <f>IF(Input!$C$19="No",IF(Input!C50&gt;0,Input!C50,"Levy"),IF(Input!$C$21="no",IF(Input!C50&gt;0,MIN(Input!C50,F18),F18),IF(Input!C50&gt;0,MIN(Input!C50,Input!C50*(Input!$C$30+$I$9)/Extension!$I$10,F18),F18)))</f>
        <v>#DIV/0!</v>
      </c>
      <c r="H18" s="59" t="e">
        <f>IF(G18="Levy",E18,((G18*$I$10)/100))</f>
        <v>#DIV/0!</v>
      </c>
      <c r="I18" s="59" t="e">
        <f>IF(Input!$C$19="Yes",IF($I$13="N/A",H18,H18*$I$13),IF(Extension!E18&lt;Extension!H18,Extension!E18,Extension!H18))</f>
        <v>#DIV/0!</v>
      </c>
      <c r="J18" s="94" t="e">
        <f>(I18/$I$10)*100</f>
        <v>#DIV/0!</v>
      </c>
      <c r="L18" s="60">
        <v>0</v>
      </c>
      <c r="M18" s="59" t="e">
        <f>I18+L18</f>
        <v>#DIV/0!</v>
      </c>
      <c r="N18" s="94" t="e">
        <f>IF(M18=0,0,M18/$I$10)*100</f>
        <v>#DIV/0!</v>
      </c>
    </row>
    <row r="19" spans="1:14" ht="15.75" x14ac:dyDescent="0.25">
      <c r="A19" s="73" t="str">
        <f>Calculations!A15</f>
        <v xml:space="preserve">Working Cash Funds </v>
      </c>
      <c r="B19" s="53" t="e">
        <f>Calculations!J15</f>
        <v>#DIV/0!</v>
      </c>
      <c r="C19" s="57">
        <v>0</v>
      </c>
      <c r="E19" s="53" t="e">
        <f t="shared" ref="E19:E34" si="0">B19*(1+C19)</f>
        <v>#DIV/0!</v>
      </c>
      <c r="F19" s="94" t="e">
        <f t="shared" ref="F19:F34" si="1">(E19/$I$10)*100</f>
        <v>#DIV/0!</v>
      </c>
      <c r="G19" s="94" t="e">
        <f>IF(Input!$C$19="No",IF(Input!C51&gt;0,Input!C51,"Levy"),IF(Input!$C$21="no",IF(Input!C51&gt;0,MIN(Input!C51,F19),F19),IF(Input!C51&gt;0,MIN(Input!C51,Input!C51*(Input!$C$30+$I$9)/Extension!$I$10,F19),F19)))</f>
        <v>#DIV/0!</v>
      </c>
      <c r="H19" s="59" t="e">
        <f t="shared" ref="H19:H34" si="2">IF(G19="Levy",E19,((G19*$I$10)/100))</f>
        <v>#DIV/0!</v>
      </c>
      <c r="I19" s="59" t="e">
        <f>IF(Input!$C$19="Yes",IF($I$13="N/A",H19,H19*$I$13),IF(Extension!E19&lt;Extension!H19,Extension!E19,Extension!H19))</f>
        <v>#DIV/0!</v>
      </c>
      <c r="J19" s="94" t="e">
        <f t="shared" ref="J19:J34" si="3">(I19/$I$10)*100</f>
        <v>#DIV/0!</v>
      </c>
      <c r="L19" s="60">
        <v>0</v>
      </c>
      <c r="M19" s="59" t="e">
        <f t="shared" ref="M19:M34" si="4">I19+L19</f>
        <v>#DIV/0!</v>
      </c>
      <c r="N19" s="94" t="e">
        <f t="shared" ref="N19:N34" si="5">IF(M19=0,0,M19/$I$10)*100</f>
        <v>#DIV/0!</v>
      </c>
    </row>
    <row r="20" spans="1:14" ht="15.75" x14ac:dyDescent="0.25">
      <c r="A20" s="73" t="str">
        <f>Calculations!A16</f>
        <v xml:space="preserve">Police Protection </v>
      </c>
      <c r="B20" s="53" t="e">
        <f>Calculations!J16</f>
        <v>#DIV/0!</v>
      </c>
      <c r="C20" s="57">
        <v>0</v>
      </c>
      <c r="E20" s="53" t="e">
        <f t="shared" si="0"/>
        <v>#DIV/0!</v>
      </c>
      <c r="F20" s="94" t="e">
        <f t="shared" si="1"/>
        <v>#DIV/0!</v>
      </c>
      <c r="G20" s="94" t="e">
        <f>IF(Input!$C$19="No",IF(Input!C52&gt;0,Input!C52,"Levy"),IF(Input!$C$21="no",IF(Input!C52&gt;0,MIN(Input!C52,F20),F20),IF(Input!C52&gt;0,MIN(Input!C52,Input!C52*(Input!$C$30+$I$9)/Extension!$I$10,F20),F20)))</f>
        <v>#DIV/0!</v>
      </c>
      <c r="H20" s="59" t="e">
        <f t="shared" si="2"/>
        <v>#DIV/0!</v>
      </c>
      <c r="I20" s="59" t="e">
        <f>IF(Input!$C$19="Yes",IF($I$13="N/A",H20,H20*$I$13),IF(Extension!E20&lt;Extension!H20,Extension!E20,Extension!H20))</f>
        <v>#DIV/0!</v>
      </c>
      <c r="J20" s="94" t="e">
        <f t="shared" si="3"/>
        <v>#DIV/0!</v>
      </c>
      <c r="L20" s="60">
        <v>0</v>
      </c>
      <c r="M20" s="59" t="e">
        <f t="shared" si="4"/>
        <v>#DIV/0!</v>
      </c>
      <c r="N20" s="94" t="e">
        <f t="shared" si="5"/>
        <v>#DIV/0!</v>
      </c>
    </row>
    <row r="21" spans="1:14" ht="15.75" x14ac:dyDescent="0.25">
      <c r="A21" s="73" t="str">
        <f>Calculations!A17</f>
        <v xml:space="preserve">Auditing </v>
      </c>
      <c r="B21" s="53" t="e">
        <f>Calculations!J17</f>
        <v>#DIV/0!</v>
      </c>
      <c r="C21" s="57">
        <v>0</v>
      </c>
      <c r="E21" s="53" t="e">
        <f t="shared" si="0"/>
        <v>#DIV/0!</v>
      </c>
      <c r="F21" s="94" t="e">
        <f t="shared" si="1"/>
        <v>#DIV/0!</v>
      </c>
      <c r="G21" s="94" t="e">
        <f>IF(Input!$C$19="No",IF(Input!C53&gt;0,Input!C53,"Levy"),IF(Input!$C$21="no",IF(Input!C53&gt;0,MIN(Input!C53,F21),F21),IF(Input!C53&gt;0,MIN(Input!C53,Input!C53*(Input!$C$30+$I$9)/Extension!$I$10,F21),F21)))</f>
        <v>#DIV/0!</v>
      </c>
      <c r="H21" s="59" t="e">
        <f t="shared" si="2"/>
        <v>#DIV/0!</v>
      </c>
      <c r="I21" s="59" t="e">
        <f>IF(Input!$C$19="Yes",IF($I$13="N/A",H21,H21*$I$13),IF(Extension!E21&lt;Extension!H21,Extension!E21,Extension!H21))</f>
        <v>#DIV/0!</v>
      </c>
      <c r="J21" s="94" t="e">
        <f t="shared" si="3"/>
        <v>#DIV/0!</v>
      </c>
      <c r="L21" s="60">
        <v>0</v>
      </c>
      <c r="M21" s="59" t="e">
        <f t="shared" si="4"/>
        <v>#DIV/0!</v>
      </c>
      <c r="N21" s="94" t="e">
        <f t="shared" si="5"/>
        <v>#DIV/0!</v>
      </c>
    </row>
    <row r="22" spans="1:14" ht="15.75" x14ac:dyDescent="0.25">
      <c r="A22" s="73" t="str">
        <f>Calculations!A18</f>
        <v xml:space="preserve">Municipal Retirement </v>
      </c>
      <c r="B22" s="53" t="e">
        <f>Calculations!J18</f>
        <v>#DIV/0!</v>
      </c>
      <c r="C22" s="57">
        <v>0</v>
      </c>
      <c r="E22" s="53" t="e">
        <f t="shared" si="0"/>
        <v>#DIV/0!</v>
      </c>
      <c r="F22" s="94" t="e">
        <f t="shared" si="1"/>
        <v>#DIV/0!</v>
      </c>
      <c r="G22" s="94" t="e">
        <f>IF(Input!$C$19="No",IF(Input!C54&gt;0,Input!C54,"Levy"),IF(Input!$C$21="no",IF(Input!C54&gt;0,MIN(Input!C54,F22),F22),IF(Input!C54&gt;0,MIN(Input!C54,Input!C54*(Input!$C$30+$I$9)/Extension!$I$10,F22),F22)))</f>
        <v>#DIV/0!</v>
      </c>
      <c r="H22" s="59" t="e">
        <f t="shared" si="2"/>
        <v>#DIV/0!</v>
      </c>
      <c r="I22" s="59" t="e">
        <f>IF(Input!$C$19="Yes",IF($I$13="N/A",H22,H22*$I$13),IF(Extension!E22&lt;Extension!H22,Extension!E22,Extension!H22))</f>
        <v>#DIV/0!</v>
      </c>
      <c r="J22" s="94" t="e">
        <f t="shared" si="3"/>
        <v>#DIV/0!</v>
      </c>
      <c r="L22" s="60">
        <v>0</v>
      </c>
      <c r="M22" s="59" t="e">
        <f t="shared" si="4"/>
        <v>#DIV/0!</v>
      </c>
      <c r="N22" s="94" t="e">
        <f t="shared" si="5"/>
        <v>#DIV/0!</v>
      </c>
    </row>
    <row r="23" spans="1:14" ht="15.75" x14ac:dyDescent="0.25">
      <c r="A23" s="73" t="str">
        <f>Calculations!A19</f>
        <v xml:space="preserve">Unemployment Insurance </v>
      </c>
      <c r="B23" s="53" t="e">
        <f>Calculations!J19</f>
        <v>#DIV/0!</v>
      </c>
      <c r="C23" s="57">
        <v>0</v>
      </c>
      <c r="E23" s="53" t="e">
        <f t="shared" si="0"/>
        <v>#DIV/0!</v>
      </c>
      <c r="F23" s="94" t="e">
        <f t="shared" ref="F23:F33" si="6">(E23/$I$10)*100</f>
        <v>#DIV/0!</v>
      </c>
      <c r="G23" s="94" t="e">
        <f>IF(Input!$C$19="No",IF(Input!C55&gt;0,Input!C55,"Levy"),IF(Input!$C$21="no",IF(Input!C55&gt;0,MIN(Input!C55,F23),F23),IF(Input!C55&gt;0,MIN(Input!C55,Input!C55*(Input!$C$30+$I$9)/Extension!$I$10,F23),F23)))</f>
        <v>#DIV/0!</v>
      </c>
      <c r="H23" s="59" t="e">
        <f t="shared" ref="H23:H33" si="7">IF(G23="Levy",E23,((G23*$I$10)/100))</f>
        <v>#DIV/0!</v>
      </c>
      <c r="I23" s="59" t="e">
        <f>IF(Input!$C$19="Yes",IF($I$13="N/A",H23,H23*$I$13),IF(Extension!E23&lt;Extension!H23,Extension!E23,Extension!H23))</f>
        <v>#DIV/0!</v>
      </c>
      <c r="J23" s="94" t="e">
        <f t="shared" ref="J23:J33" si="8">(I23/$I$10)*100</f>
        <v>#DIV/0!</v>
      </c>
      <c r="L23" s="60">
        <v>0</v>
      </c>
      <c r="M23" s="59" t="e">
        <f t="shared" si="4"/>
        <v>#DIV/0!</v>
      </c>
      <c r="N23" s="94" t="e">
        <f t="shared" si="5"/>
        <v>#DIV/0!</v>
      </c>
    </row>
    <row r="24" spans="1:14" ht="15.75" x14ac:dyDescent="0.25">
      <c r="A24" s="73" t="str">
        <f>Calculations!A20</f>
        <v xml:space="preserve">Workman's Compensation </v>
      </c>
      <c r="B24" s="53" t="e">
        <f>Calculations!J20</f>
        <v>#DIV/0!</v>
      </c>
      <c r="C24" s="57">
        <v>0</v>
      </c>
      <c r="E24" s="53" t="e">
        <f t="shared" si="0"/>
        <v>#DIV/0!</v>
      </c>
      <c r="F24" s="94" t="e">
        <f t="shared" si="6"/>
        <v>#DIV/0!</v>
      </c>
      <c r="G24" s="94" t="e">
        <f>IF(Input!$C$19="No",IF(Input!C56&gt;0,Input!C56,"Levy"),IF(Input!$C$21="no",IF(Input!C56&gt;0,MIN(Input!C56,F24),F24),IF(Input!C56&gt;0,MIN(Input!C56,Input!C56*(Input!$C$30+$I$9)/Extension!$I$10,F24),F24)))</f>
        <v>#DIV/0!</v>
      </c>
      <c r="H24" s="59" t="e">
        <f t="shared" si="7"/>
        <v>#DIV/0!</v>
      </c>
      <c r="I24" s="59" t="e">
        <f>IF(Input!$C$19="Yes",IF($I$13="N/A",H24,H24*$I$13),IF(Extension!E24&lt;Extension!H24,Extension!E24,Extension!H24))</f>
        <v>#DIV/0!</v>
      </c>
      <c r="J24" s="94" t="e">
        <f t="shared" si="8"/>
        <v>#DIV/0!</v>
      </c>
      <c r="L24" s="60">
        <v>0</v>
      </c>
      <c r="M24" s="59" t="e">
        <f t="shared" si="4"/>
        <v>#DIV/0!</v>
      </c>
      <c r="N24" s="94" t="e">
        <f t="shared" si="5"/>
        <v>#DIV/0!</v>
      </c>
    </row>
    <row r="25" spans="1:14" ht="15.75" x14ac:dyDescent="0.25">
      <c r="A25" s="73" t="str">
        <f>Calculations!A21</f>
        <v xml:space="preserve">Social Security </v>
      </c>
      <c r="B25" s="53" t="e">
        <f>Calculations!J21</f>
        <v>#DIV/0!</v>
      </c>
      <c r="C25" s="57">
        <v>0</v>
      </c>
      <c r="E25" s="53" t="e">
        <f t="shared" si="0"/>
        <v>#DIV/0!</v>
      </c>
      <c r="F25" s="94" t="e">
        <f t="shared" si="6"/>
        <v>#DIV/0!</v>
      </c>
      <c r="G25" s="94" t="e">
        <f>IF(Input!$C$19="No",IF(Input!C57&gt;0,Input!C57,"Levy"),IF(Input!$C$21="no",IF(Input!C57&gt;0,MIN(Input!C57,F25),F25),IF(Input!C57&gt;0,MIN(Input!C57,Input!C57*(Input!$C$30+$I$9)/Extension!$I$10,F25),F25)))</f>
        <v>#DIV/0!</v>
      </c>
      <c r="H25" s="59" t="e">
        <f t="shared" si="7"/>
        <v>#DIV/0!</v>
      </c>
      <c r="I25" s="59" t="e">
        <f>IF(Input!$C$19="Yes",IF($I$13="N/A",H25,H25*$I$13),IF(Extension!E25&lt;Extension!H25,Extension!E25,Extension!H25))</f>
        <v>#DIV/0!</v>
      </c>
      <c r="J25" s="94" t="e">
        <f t="shared" si="8"/>
        <v>#DIV/0!</v>
      </c>
      <c r="L25" s="60">
        <v>0</v>
      </c>
      <c r="M25" s="59" t="e">
        <f t="shared" si="4"/>
        <v>#DIV/0!</v>
      </c>
      <c r="N25" s="94" t="e">
        <f t="shared" si="5"/>
        <v>#DIV/0!</v>
      </c>
    </row>
    <row r="26" spans="1:14" ht="15.75" x14ac:dyDescent="0.25">
      <c r="A26" s="73" t="str">
        <f>Calculations!A22</f>
        <v xml:space="preserve">Recreation </v>
      </c>
      <c r="B26" s="53" t="e">
        <f>Calculations!J22</f>
        <v>#DIV/0!</v>
      </c>
      <c r="C26" s="57">
        <v>0</v>
      </c>
      <c r="E26" s="53" t="e">
        <f t="shared" si="0"/>
        <v>#DIV/0!</v>
      </c>
      <c r="F26" s="94" t="e">
        <f t="shared" si="6"/>
        <v>#DIV/0!</v>
      </c>
      <c r="G26" s="94" t="e">
        <f>IF(Input!$C$19="No",IF(Input!C58&gt;0,Input!C58,"Levy"),IF(Input!$C$21="no",IF(Input!C58&gt;0,MIN(Input!C58,F26),F26),IF(Input!C58&gt;0,MIN(Input!C58,Input!C58*(Input!$C$30+$I$9)/Extension!$I$10,F26),F26)))</f>
        <v>#DIV/0!</v>
      </c>
      <c r="H26" s="59" t="e">
        <f t="shared" si="7"/>
        <v>#DIV/0!</v>
      </c>
      <c r="I26" s="59" t="e">
        <f>IF(Input!$C$19="Yes",IF($I$13="N/A",H26,H26*$I$13),IF(Extension!E26&lt;Extension!H26,Extension!E26,Extension!H26))</f>
        <v>#DIV/0!</v>
      </c>
      <c r="J26" s="94" t="e">
        <f t="shared" si="8"/>
        <v>#DIV/0!</v>
      </c>
      <c r="L26" s="60">
        <v>0</v>
      </c>
      <c r="M26" s="59" t="e">
        <f t="shared" si="4"/>
        <v>#DIV/0!</v>
      </c>
      <c r="N26" s="94" t="e">
        <f t="shared" si="5"/>
        <v>#DIV/0!</v>
      </c>
    </row>
    <row r="27" spans="1:14" ht="15.75" x14ac:dyDescent="0.25">
      <c r="A27" s="73" t="str">
        <f>Calculations!A23</f>
        <v xml:space="preserve">Liability Insurance </v>
      </c>
      <c r="B27" s="53" t="e">
        <f>Calculations!J23</f>
        <v>#DIV/0!</v>
      </c>
      <c r="C27" s="57">
        <v>0</v>
      </c>
      <c r="E27" s="53" t="e">
        <f t="shared" si="0"/>
        <v>#DIV/0!</v>
      </c>
      <c r="F27" s="94" t="e">
        <f t="shared" si="6"/>
        <v>#DIV/0!</v>
      </c>
      <c r="G27" s="94" t="e">
        <f>IF(Input!$C$19="No",IF(Input!C59&gt;0,Input!C59,"Levy"),IF(Input!$C$21="no",IF(Input!C59&gt;0,MIN(Input!C59,F27),F27),IF(Input!C59&gt;0,MIN(Input!C59,Input!C59*(Input!$C$30+$I$9)/Extension!$I$10,F27),F27)))</f>
        <v>#DIV/0!</v>
      </c>
      <c r="H27" s="59" t="e">
        <f t="shared" si="7"/>
        <v>#DIV/0!</v>
      </c>
      <c r="I27" s="59" t="e">
        <f>IF(Input!$C$19="Yes",IF($I$13="N/A",H27,H27*$I$13),IF(Extension!E27&lt;Extension!H27,Extension!E27,Extension!H27))</f>
        <v>#DIV/0!</v>
      </c>
      <c r="J27" s="94" t="e">
        <f t="shared" si="8"/>
        <v>#DIV/0!</v>
      </c>
      <c r="L27" s="60">
        <v>0</v>
      </c>
      <c r="M27" s="59" t="e">
        <f t="shared" si="4"/>
        <v>#DIV/0!</v>
      </c>
      <c r="N27" s="94" t="e">
        <f t="shared" si="5"/>
        <v>#DIV/0!</v>
      </c>
    </row>
    <row r="28" spans="1:14" ht="15.75" x14ac:dyDescent="0.25">
      <c r="A28" s="73" t="str">
        <f>Calculations!A24</f>
        <v xml:space="preserve">Paving/Lighting </v>
      </c>
      <c r="B28" s="53" t="e">
        <f>Calculations!J24</f>
        <v>#DIV/0!</v>
      </c>
      <c r="C28" s="57">
        <v>0</v>
      </c>
      <c r="E28" s="53" t="e">
        <f t="shared" si="0"/>
        <v>#DIV/0!</v>
      </c>
      <c r="F28" s="94" t="e">
        <f t="shared" si="6"/>
        <v>#DIV/0!</v>
      </c>
      <c r="G28" s="94" t="e">
        <f>IF(Input!$C$19="No",IF(Input!C60&gt;0,Input!C60,"Levy"),IF(Input!$C$21="no",IF(Input!C60&gt;0,MIN(Input!C60,F28),F28),IF(Input!C60&gt;0,MIN(Input!C60,Input!C60*(Input!$C$30+$I$9)/Extension!$I$10,F28),F28)))</f>
        <v>#DIV/0!</v>
      </c>
      <c r="H28" s="59" t="e">
        <f t="shared" si="7"/>
        <v>#DIV/0!</v>
      </c>
      <c r="I28" s="59" t="e">
        <f>IF(Input!$C$19="Yes",IF($I$13="N/A",H28,H28*$I$13),IF(Extension!E28&lt;Extension!H28,Extension!E28,Extension!H28))</f>
        <v>#DIV/0!</v>
      </c>
      <c r="J28" s="94" t="e">
        <f t="shared" si="8"/>
        <v>#DIV/0!</v>
      </c>
      <c r="L28" s="60">
        <v>0</v>
      </c>
      <c r="M28" s="59" t="e">
        <f t="shared" si="4"/>
        <v>#DIV/0!</v>
      </c>
      <c r="N28" s="94" t="e">
        <f t="shared" si="5"/>
        <v>#DIV/0!</v>
      </c>
    </row>
    <row r="29" spans="1:14" ht="15.75" x14ac:dyDescent="0.25">
      <c r="A29" s="73" t="str">
        <f>Calculations!A25</f>
        <v xml:space="preserve">Public Benefit </v>
      </c>
      <c r="B29" s="53" t="e">
        <f>Calculations!J25</f>
        <v>#DIV/0!</v>
      </c>
      <c r="C29" s="57">
        <v>0</v>
      </c>
      <c r="E29" s="53" t="e">
        <f t="shared" si="0"/>
        <v>#DIV/0!</v>
      </c>
      <c r="F29" s="94" t="e">
        <f t="shared" si="6"/>
        <v>#DIV/0!</v>
      </c>
      <c r="G29" s="94" t="e">
        <f>IF(Input!$C$19="No",IF(Input!C61&gt;0,Input!C61,"Levy"),IF(Input!$C$21="no",IF(Input!C61&gt;0,MIN(Input!C61,F29),F29),IF(Input!C61&gt;0,MIN(Input!C61,Input!C61*(Input!$C$30+$I$9)/Extension!$I$10,F29),F29)))</f>
        <v>#DIV/0!</v>
      </c>
      <c r="H29" s="59" t="e">
        <f t="shared" si="7"/>
        <v>#DIV/0!</v>
      </c>
      <c r="I29" s="59" t="e">
        <f>IF(Input!$C$19="Yes",IF($I$13="N/A",H29,H29*$I$13),IF(Extension!E29&lt;Extension!H29,Extension!E29,Extension!H29))</f>
        <v>#DIV/0!</v>
      </c>
      <c r="J29" s="94" t="e">
        <f t="shared" si="8"/>
        <v>#DIV/0!</v>
      </c>
      <c r="L29" s="60">
        <v>0</v>
      </c>
      <c r="M29" s="59" t="e">
        <f t="shared" si="4"/>
        <v>#DIV/0!</v>
      </c>
      <c r="N29" s="94" t="e">
        <f t="shared" si="5"/>
        <v>#DIV/0!</v>
      </c>
    </row>
    <row r="30" spans="1:14" ht="15.75" x14ac:dyDescent="0.25">
      <c r="A30" s="73" t="str">
        <f>Calculations!A26</f>
        <v>Museum</v>
      </c>
      <c r="B30" s="53" t="e">
        <f>Calculations!J26</f>
        <v>#DIV/0!</v>
      </c>
      <c r="C30" s="57">
        <v>0</v>
      </c>
      <c r="E30" s="53" t="e">
        <f t="shared" ref="E30" si="9">B30*(1+C30)</f>
        <v>#DIV/0!</v>
      </c>
      <c r="F30" s="94" t="e">
        <f t="shared" si="6"/>
        <v>#DIV/0!</v>
      </c>
      <c r="G30" s="94" t="e">
        <f>IF(Input!$C$19="No",IF(Input!C62&gt;0,Input!C62,"Levy"),IF(Input!$C$21="no",IF(Input!C62&gt;0,MIN(Input!C62,F30),F30),IF(Input!C62&gt;0,MIN(Input!C62,Input!C62*(Input!$C$30+$I$9)/Extension!$I$10,F30),F30)))</f>
        <v>#DIV/0!</v>
      </c>
      <c r="H30" s="59" t="e">
        <f t="shared" ref="H30" si="10">IF(G30="Levy",E30,((G30*$I$10)/100))</f>
        <v>#DIV/0!</v>
      </c>
      <c r="I30" s="59" t="e">
        <f>IF(Input!$C$19="Yes",IF($I$13="N/A",H30,H30*$I$13),IF(Extension!E30&lt;Extension!H30,Extension!E30,Extension!H30))</f>
        <v>#DIV/0!</v>
      </c>
      <c r="J30" s="94" t="e">
        <f t="shared" ref="J30" si="11">(I30/$I$10)*100</f>
        <v>#DIV/0!</v>
      </c>
      <c r="L30" s="60">
        <v>0</v>
      </c>
      <c r="M30" s="59" t="e">
        <f t="shared" ref="M30" si="12">I30+L30</f>
        <v>#DIV/0!</v>
      </c>
      <c r="N30" s="94" t="e">
        <f t="shared" ref="N30" si="13">IF(M30=0,0,M30/$I$10)*100</f>
        <v>#DIV/0!</v>
      </c>
    </row>
    <row r="31" spans="1:14" ht="15.75" x14ac:dyDescent="0.25">
      <c r="A31" s="73" t="str">
        <f>Calculations!A27</f>
        <v>Public Safety and Security</v>
      </c>
      <c r="B31" s="53" t="e">
        <f>Calculations!J27</f>
        <v>#DIV/0!</v>
      </c>
      <c r="C31" s="57">
        <v>0</v>
      </c>
      <c r="E31" s="53" t="e">
        <f t="shared" ref="E31" si="14">B31*(1+C31)</f>
        <v>#DIV/0!</v>
      </c>
      <c r="F31" s="94" t="e">
        <f t="shared" si="6"/>
        <v>#DIV/0!</v>
      </c>
      <c r="G31" s="94" t="e">
        <f>IF(Input!$C$19="No",IF(Input!C63&gt;0,Input!C63,"Levy"),IF(Input!$C$21="no",IF(Input!C63&gt;0,MIN(Input!C63,F31),F31),IF(Input!C63&gt;0,MIN(Input!C63,Input!C63*(Input!$C$30+$I$9)/Extension!$I$10,F31),F31)))</f>
        <v>#DIV/0!</v>
      </c>
      <c r="H31" s="59" t="e">
        <f t="shared" ref="H31" si="15">IF(G31="Levy",E31,((G31*$I$10)/100))</f>
        <v>#DIV/0!</v>
      </c>
      <c r="I31" s="59" t="e">
        <f>IF(Input!$C$19="Yes",IF($I$13="N/A",H31,H31*$I$13),IF(Extension!E31&lt;Extension!H31,Extension!E31,Extension!H31))</f>
        <v>#DIV/0!</v>
      </c>
      <c r="J31" s="94" t="e">
        <f t="shared" ref="J31" si="16">(I31/$I$10)*100</f>
        <v>#DIV/0!</v>
      </c>
      <c r="L31" s="60">
        <v>0</v>
      </c>
      <c r="M31" s="59" t="e">
        <f t="shared" ref="M31" si="17">I31+L31</f>
        <v>#DIV/0!</v>
      </c>
      <c r="N31" s="94" t="e">
        <f t="shared" ref="N31" si="18">IF(M31=0,0,M31/$I$10)*100</f>
        <v>#DIV/0!</v>
      </c>
    </row>
    <row r="32" spans="1:14" ht="15.75" x14ac:dyDescent="0.25">
      <c r="A32" s="73" t="str">
        <f>Calculations!A28</f>
        <v xml:space="preserve">Custom 1 </v>
      </c>
      <c r="B32" s="53" t="e">
        <f>Calculations!J28</f>
        <v>#DIV/0!</v>
      </c>
      <c r="C32" s="57">
        <v>0</v>
      </c>
      <c r="E32" s="53" t="e">
        <f t="shared" si="0"/>
        <v>#DIV/0!</v>
      </c>
      <c r="F32" s="94" t="e">
        <f t="shared" si="6"/>
        <v>#DIV/0!</v>
      </c>
      <c r="G32" s="94" t="e">
        <f>IF(Input!$C$19="No",IF(Input!C64&gt;0,Input!C64,"Levy"),IF(Input!$C$21="no",IF(Input!C64&gt;0,MIN(Input!C64,F32),F32),IF(Input!C64&gt;0,MIN(Input!C64,Input!C64*(Input!$C$30+$I$9)/Extension!$I$10,F32),F32)))</f>
        <v>#DIV/0!</v>
      </c>
      <c r="H32" s="59" t="e">
        <f t="shared" si="7"/>
        <v>#DIV/0!</v>
      </c>
      <c r="I32" s="59" t="e">
        <f>IF(Input!$C$19="Yes",IF($I$13="N/A",H32,H32*$I$13),IF(Extension!E32&lt;Extension!H32,Extension!E32,Extension!H32))</f>
        <v>#DIV/0!</v>
      </c>
      <c r="J32" s="94" t="e">
        <f t="shared" si="8"/>
        <v>#DIV/0!</v>
      </c>
      <c r="L32" s="60">
        <v>0</v>
      </c>
      <c r="M32" s="59" t="e">
        <f t="shared" si="4"/>
        <v>#DIV/0!</v>
      </c>
      <c r="N32" s="94" t="e">
        <f t="shared" si="5"/>
        <v>#DIV/0!</v>
      </c>
    </row>
    <row r="33" spans="1:14" ht="15.75" x14ac:dyDescent="0.25">
      <c r="A33" s="73" t="str">
        <f>Calculations!A29</f>
        <v xml:space="preserve">Custom 2 </v>
      </c>
      <c r="B33" s="53" t="e">
        <f>Calculations!J29</f>
        <v>#DIV/0!</v>
      </c>
      <c r="C33" s="57">
        <v>0</v>
      </c>
      <c r="E33" s="53" t="e">
        <f t="shared" si="0"/>
        <v>#DIV/0!</v>
      </c>
      <c r="F33" s="94" t="e">
        <f t="shared" si="6"/>
        <v>#DIV/0!</v>
      </c>
      <c r="G33" s="94" t="e">
        <f>IF(Input!$C$19="No",IF(Input!C65&gt;0,Input!C65,"Levy"),IF(Input!$C$21="no",IF(Input!C65&gt;0,MIN(Input!C65,F33),F33),IF(Input!C65&gt;0,MIN(Input!C65,Input!C65*(Input!$C$30+$I$9)/Extension!$I$10,F33),F33)))</f>
        <v>#DIV/0!</v>
      </c>
      <c r="H33" s="59" t="e">
        <f t="shared" si="7"/>
        <v>#DIV/0!</v>
      </c>
      <c r="I33" s="59" t="e">
        <f>IF(Input!$C$19="Yes",IF($I$13="N/A",H33,H33*$I$13),IF(Extension!E33&lt;Extension!H33,Extension!E33,Extension!H33))</f>
        <v>#DIV/0!</v>
      </c>
      <c r="J33" s="94" t="e">
        <f t="shared" si="8"/>
        <v>#DIV/0!</v>
      </c>
      <c r="L33" s="60">
        <v>0</v>
      </c>
      <c r="M33" s="59" t="e">
        <f t="shared" si="4"/>
        <v>#DIV/0!</v>
      </c>
      <c r="N33" s="94" t="e">
        <f t="shared" si="5"/>
        <v>#DIV/0!</v>
      </c>
    </row>
    <row r="34" spans="1:14" ht="15.75" x14ac:dyDescent="0.25">
      <c r="A34" s="73" t="str">
        <f>Calculations!A30</f>
        <v xml:space="preserve">Custom 3 </v>
      </c>
      <c r="B34" s="53" t="e">
        <f>Calculations!J30</f>
        <v>#DIV/0!</v>
      </c>
      <c r="C34" s="57">
        <v>0</v>
      </c>
      <c r="E34" s="53" t="e">
        <f t="shared" si="0"/>
        <v>#DIV/0!</v>
      </c>
      <c r="F34" s="94" t="e">
        <f t="shared" si="1"/>
        <v>#DIV/0!</v>
      </c>
      <c r="G34" s="94" t="e">
        <f>IF(Input!$C$19="No",IF(Input!C66&gt;0,Input!C66,"Levy"),IF(Input!$C$21="no",IF(Input!C66&gt;0,MIN(Input!C66,F34),F34),IF(Input!C66&gt;0,MIN(Input!C66,Input!C66*(Input!$C$30+$I$9)/Extension!$I$10,F34),F34)))</f>
        <v>#DIV/0!</v>
      </c>
      <c r="H34" s="59" t="e">
        <f t="shared" si="2"/>
        <v>#DIV/0!</v>
      </c>
      <c r="I34" s="59" t="e">
        <f>IF(Input!$C$19="Yes",IF($I$13="N/A",H34,H34*$I$13),IF(Extension!E34&lt;Extension!H34,Extension!E34,Extension!H34))</f>
        <v>#DIV/0!</v>
      </c>
      <c r="J34" s="94" t="e">
        <f t="shared" si="3"/>
        <v>#DIV/0!</v>
      </c>
      <c r="L34" s="60">
        <v>0</v>
      </c>
      <c r="M34" s="59" t="e">
        <f t="shared" si="4"/>
        <v>#DIV/0!</v>
      </c>
      <c r="N34" s="94" t="e">
        <f t="shared" si="5"/>
        <v>#DIV/0!</v>
      </c>
    </row>
    <row r="35" spans="1:14" ht="15.75" customHeight="1" x14ac:dyDescent="0.2">
      <c r="B35" s="3"/>
      <c r="C35" s="3"/>
      <c r="K35" s="47"/>
      <c r="L35" s="126">
        <f>-L37</f>
        <v>0</v>
      </c>
      <c r="M35" s="96" t="str">
        <f>IF(L35&lt;0," Extension Reduction Needed, Net to $0"," Extension Increase Needed, Net to $0")</f>
        <v xml:space="preserve"> Extension Increase Needed, Net to $0</v>
      </c>
    </row>
    <row r="36" spans="1:14" ht="15.75" customHeight="1" x14ac:dyDescent="0.2">
      <c r="B36" s="3"/>
      <c r="C36" s="3"/>
    </row>
    <row r="37" spans="1:14" ht="15.75" x14ac:dyDescent="0.25">
      <c r="A37" s="2" t="str">
        <f>IF(Input!C19="Yes","Capped Levy/Extension/Rate ","Levy/Extension/Rate ")</f>
        <v xml:space="preserve">Capped Levy/Extension/Rate </v>
      </c>
      <c r="B37" s="61" t="e">
        <f>SUM(B18:B34)</f>
        <v>#DIV/0!</v>
      </c>
      <c r="C37" s="4"/>
      <c r="E37" s="61" t="e">
        <f>SUM(E18:E34)</f>
        <v>#DIV/0!</v>
      </c>
      <c r="F37" s="95" t="e">
        <f>SUM(F18:F34)</f>
        <v>#DIV/0!</v>
      </c>
      <c r="G37" s="95" t="e">
        <f>SUM(G18:G34)</f>
        <v>#DIV/0!</v>
      </c>
      <c r="H37" s="62" t="e">
        <f>SUM(H18:H34)</f>
        <v>#DIV/0!</v>
      </c>
      <c r="I37" s="62" t="e">
        <f>SUM(I18:I35)</f>
        <v>#DIV/0!</v>
      </c>
      <c r="J37" s="95" t="e">
        <f>(I37/$I$10)*100</f>
        <v>#DIV/0!</v>
      </c>
      <c r="L37" s="62">
        <f>SUM(L18:L34)</f>
        <v>0</v>
      </c>
      <c r="M37" s="62" t="e">
        <f>SUM(M18:M34)</f>
        <v>#DIV/0!</v>
      </c>
      <c r="N37" s="95" t="e">
        <f>SUM(N18:N34)</f>
        <v>#DIV/0!</v>
      </c>
    </row>
    <row r="38" spans="1:14" ht="15.75" x14ac:dyDescent="0.25">
      <c r="A38" s="2"/>
      <c r="H38" s="47"/>
      <c r="I38" s="46"/>
    </row>
    <row r="39" spans="1:14" ht="15.75" x14ac:dyDescent="0.25">
      <c r="A39" s="2" t="s">
        <v>99</v>
      </c>
      <c r="B39" s="53">
        <f>Calculations!J37</f>
        <v>0</v>
      </c>
      <c r="H39" s="2" t="s">
        <v>134</v>
      </c>
      <c r="I39" s="59">
        <f>MIN((B39*(1+C39)),I$10*MIN(4%,Calculations!F36)/100)</f>
        <v>0</v>
      </c>
      <c r="J39" s="95" t="e">
        <f>I39/I$10*100</f>
        <v>#DIV/0!</v>
      </c>
      <c r="K39" s="52"/>
      <c r="L39" s="9" t="e">
        <f>IF(J39&lt;Calculations!F36,(J39-Calculations!F36)*I10/100,"")</f>
        <v>#DIV/0!</v>
      </c>
      <c r="N39" s="95" t="e">
        <f>J39</f>
        <v>#DIV/0!</v>
      </c>
    </row>
    <row r="40" spans="1:14" ht="15.75" x14ac:dyDescent="0.25">
      <c r="A40" s="2"/>
      <c r="K40" s="51"/>
      <c r="L40" s="121" t="e">
        <f>IF(L39&lt;0," ALERT - Special Recreation Levy Increase Needed","")</f>
        <v>#DIV/0!</v>
      </c>
      <c r="M40" s="121"/>
      <c r="N40" s="121"/>
    </row>
    <row r="41" spans="1:14" ht="15.75" x14ac:dyDescent="0.25">
      <c r="A41" s="191" t="s">
        <v>133</v>
      </c>
      <c r="B41" s="199">
        <f>Calculations!J40</f>
        <v>0</v>
      </c>
      <c r="C41" s="192"/>
      <c r="D41" s="192"/>
      <c r="E41" s="192"/>
      <c r="F41" s="192"/>
      <c r="G41" s="192"/>
      <c r="H41" s="191" t="s">
        <v>135</v>
      </c>
      <c r="I41" s="196">
        <f>MIN((B41*(1+C41)),I$10*MIN(Input!$C$71,Calculations!F39)/100)</f>
        <v>0</v>
      </c>
      <c r="J41" s="200" t="e">
        <f>I41/I$10*100</f>
        <v>#DIV/0!</v>
      </c>
      <c r="K41" s="201"/>
      <c r="L41" s="202" t="e">
        <f>IF(J41&lt;Calculations!F39,(J41-Calculations!F39)*I10/100,"")</f>
        <v>#DIV/0!</v>
      </c>
      <c r="M41" s="189"/>
      <c r="N41" s="200" t="e">
        <f>J41</f>
        <v>#DIV/0!</v>
      </c>
    </row>
    <row r="42" spans="1:14" ht="15.75" x14ac:dyDescent="0.25">
      <c r="A42" s="2"/>
      <c r="K42" s="51"/>
      <c r="L42" s="189" t="e">
        <f>IF(L41&lt;0," ALERT - Museum Levy Increase Needed","")</f>
        <v>#DIV/0!</v>
      </c>
      <c r="M42" s="121"/>
      <c r="N42" s="121"/>
    </row>
    <row r="43" spans="1:14" ht="15.75" x14ac:dyDescent="0.25">
      <c r="A43" s="2" t="s">
        <v>89</v>
      </c>
      <c r="B43" s="53">
        <f>Calculations!J42</f>
        <v>0</v>
      </c>
      <c r="H43" s="2" t="s">
        <v>91</v>
      </c>
      <c r="I43" s="60"/>
      <c r="J43" s="95" t="e">
        <f>(I43/$I$10)*100</f>
        <v>#DIV/0!</v>
      </c>
      <c r="K43" s="52" t="s">
        <v>34</v>
      </c>
      <c r="N43" s="95" t="e">
        <f>J43</f>
        <v>#DIV/0!</v>
      </c>
    </row>
    <row r="44" spans="1:14" ht="15.75" x14ac:dyDescent="0.25">
      <c r="A44" s="2"/>
      <c r="B44" s="42"/>
      <c r="C44" s="4"/>
      <c r="E44" s="4"/>
      <c r="F44" s="4"/>
      <c r="G44" s="4"/>
    </row>
    <row r="45" spans="1:14" ht="15.75" x14ac:dyDescent="0.25">
      <c r="A45" s="2" t="s">
        <v>57</v>
      </c>
      <c r="B45" s="61" t="e">
        <f>B37+B43+B39+B41</f>
        <v>#DIV/0!</v>
      </c>
      <c r="C45" s="10"/>
      <c r="H45" s="2" t="s">
        <v>88</v>
      </c>
      <c r="I45" s="61" t="e">
        <f>I37+I39+I41+I43</f>
        <v>#DIV/0!</v>
      </c>
      <c r="J45" s="95" t="e">
        <f>J37+J39+J41+J43</f>
        <v>#DIV/0!</v>
      </c>
      <c r="M45" s="2"/>
      <c r="N45" s="95" t="e">
        <f>N37+N39+N41+N43</f>
        <v>#DIV/0!</v>
      </c>
    </row>
    <row r="46" spans="1:14" ht="12.75" x14ac:dyDescent="0.2">
      <c r="C46" s="3"/>
    </row>
    <row r="47" spans="1:14" ht="4.5" customHeight="1" x14ac:dyDescent="0.2">
      <c r="C47" s="3"/>
    </row>
    <row r="48" spans="1:14" ht="12.75" hidden="1" x14ac:dyDescent="0.2">
      <c r="C48" s="3"/>
    </row>
  </sheetData>
  <sheetProtection algorithmName="SHA-512" hashValue="VB8sTpO+iDt9E2wRvFCOXFeK078tZujRKRAvuInetUzP85U6ZNvt+kq4IrCbaKwHAXT1xKzUUNVMSN3BKucCJQ==" saltValue="IoF+hgmjCtAXhgV2r43uMw==" spinCount="100000" sheet="1" objects="1" scenarios="1"/>
  <mergeCells count="11">
    <mergeCell ref="N16:N17"/>
    <mergeCell ref="J16:J17"/>
    <mergeCell ref="G16:G17"/>
    <mergeCell ref="I16:I17"/>
    <mergeCell ref="H16:H17"/>
    <mergeCell ref="A7:A8"/>
    <mergeCell ref="A2:C2"/>
    <mergeCell ref="C10:D10"/>
    <mergeCell ref="C11:D11"/>
    <mergeCell ref="B8:B9"/>
    <mergeCell ref="C8:D9"/>
  </mergeCells>
  <conditionalFormatting sqref="A7:C7 E7:E9">
    <cfRule type="expression" dxfId="100" priority="190" stopIfTrue="1">
      <formula>$B$10="N/A"</formula>
    </cfRule>
  </conditionalFormatting>
  <conditionalFormatting sqref="A10:D11">
    <cfRule type="expression" dxfId="99" priority="161" stopIfTrue="1">
      <formula>$B$10="N/A"</formula>
    </cfRule>
  </conditionalFormatting>
  <conditionalFormatting sqref="B11">
    <cfRule type="expression" dxfId="98" priority="167" stopIfTrue="1">
      <formula>$B$10="N/A"</formula>
    </cfRule>
  </conditionalFormatting>
  <conditionalFormatting sqref="B8:C8">
    <cfRule type="expression" dxfId="97" priority="165" stopIfTrue="1">
      <formula>$B$10="N/A"</formula>
    </cfRule>
  </conditionalFormatting>
  <conditionalFormatting sqref="F18">
    <cfRule type="cellIs" dxfId="96" priority="160" operator="greaterThan">
      <formula>$G$18</formula>
    </cfRule>
  </conditionalFormatting>
  <conditionalFormatting sqref="F19">
    <cfRule type="cellIs" dxfId="94" priority="90" operator="greaterThan">
      <formula>$G$19</formula>
    </cfRule>
  </conditionalFormatting>
  <conditionalFormatting sqref="F20">
    <cfRule type="cellIs" dxfId="93" priority="45" operator="greaterThan">
      <formula>$G$20</formula>
    </cfRule>
  </conditionalFormatting>
  <conditionalFormatting sqref="F21">
    <cfRule type="cellIs" dxfId="92" priority="44" operator="greaterThan">
      <formula>$G$21</formula>
    </cfRule>
  </conditionalFormatting>
  <conditionalFormatting sqref="F22">
    <cfRule type="cellIs" dxfId="91" priority="43" operator="greaterThan">
      <formula>$G$22</formula>
    </cfRule>
  </conditionalFormatting>
  <conditionalFormatting sqref="F23">
    <cfRule type="cellIs" dxfId="90" priority="42" operator="greaterThan">
      <formula>$G$23</formula>
    </cfRule>
  </conditionalFormatting>
  <conditionalFormatting sqref="F24">
    <cfRule type="cellIs" dxfId="89" priority="41" operator="greaterThan">
      <formula>$G$24</formula>
    </cfRule>
  </conditionalFormatting>
  <conditionalFormatting sqref="F25">
    <cfRule type="cellIs" dxfId="88" priority="40" operator="greaterThan">
      <formula>$G$25</formula>
    </cfRule>
  </conditionalFormatting>
  <conditionalFormatting sqref="F26">
    <cfRule type="cellIs" dxfId="87" priority="39" operator="greaterThan">
      <formula>$G$26</formula>
    </cfRule>
  </conditionalFormatting>
  <conditionalFormatting sqref="F27">
    <cfRule type="cellIs" dxfId="86" priority="38" operator="greaterThan">
      <formula>$G$27</formula>
    </cfRule>
  </conditionalFormatting>
  <conditionalFormatting sqref="F28">
    <cfRule type="cellIs" dxfId="85" priority="37" operator="greaterThan">
      <formula>$G$28</formula>
    </cfRule>
  </conditionalFormatting>
  <conditionalFormatting sqref="F31">
    <cfRule type="cellIs" dxfId="84" priority="36" operator="greaterThan">
      <formula>$G$31</formula>
    </cfRule>
  </conditionalFormatting>
  <conditionalFormatting sqref="F32">
    <cfRule type="cellIs" dxfId="83" priority="35" operator="greaterThan">
      <formula>$G$32</formula>
    </cfRule>
  </conditionalFormatting>
  <conditionalFormatting sqref="F33">
    <cfRule type="cellIs" dxfId="82" priority="34" operator="greaterThan">
      <formula>$G$33</formula>
    </cfRule>
  </conditionalFormatting>
  <conditionalFormatting sqref="F34">
    <cfRule type="cellIs" dxfId="81" priority="33" operator="greaterThan">
      <formula>$G$34</formula>
    </cfRule>
  </conditionalFormatting>
  <conditionalFormatting sqref="F2:H3">
    <cfRule type="expression" dxfId="80" priority="116" stopIfTrue="1">
      <formula>$C$17="No"</formula>
    </cfRule>
  </conditionalFormatting>
  <conditionalFormatting sqref="H14">
    <cfRule type="expression" dxfId="77" priority="82">
      <formula>$I$14&gt;0</formula>
    </cfRule>
  </conditionalFormatting>
  <conditionalFormatting sqref="H38:I38">
    <cfRule type="cellIs" dxfId="76" priority="133" operator="lessThan">
      <formula>0</formula>
    </cfRule>
  </conditionalFormatting>
  <conditionalFormatting sqref="I2:I3">
    <cfRule type="expression" dxfId="75" priority="119" stopIfTrue="1">
      <formula>$C$17="No"</formula>
    </cfRule>
  </conditionalFormatting>
  <conditionalFormatting sqref="I8:I9">
    <cfRule type="expression" dxfId="73" priority="87">
      <formula>$I$14&lt;0</formula>
    </cfRule>
  </conditionalFormatting>
  <conditionalFormatting sqref="I14 A7:D7 A9 H13:I13">
    <cfRule type="expression" dxfId="71" priority="181" stopIfTrue="1">
      <formula>$B$10="N/A"</formula>
    </cfRule>
  </conditionalFormatting>
  <conditionalFormatting sqref="I14">
    <cfRule type="cellIs" dxfId="70" priority="129" operator="lessThan">
      <formula>0</formula>
    </cfRule>
    <cfRule type="cellIs" dxfId="69" priority="128" operator="lessThan">
      <formula>0</formula>
    </cfRule>
  </conditionalFormatting>
  <conditionalFormatting sqref="I18:I34">
    <cfRule type="expression" dxfId="68" priority="86">
      <formula>$I18&lt;$H18</formula>
    </cfRule>
  </conditionalFormatting>
  <conditionalFormatting sqref="J18">
    <cfRule type="expression" dxfId="65" priority="93">
      <formula>$J18&lt;$G18</formula>
    </cfRule>
    <cfRule type="expression" dxfId="64" priority="84">
      <formula>$G$18="Levy"</formula>
    </cfRule>
    <cfRule type="expression" dxfId="63" priority="46">
      <formula>$J$18=0</formula>
    </cfRule>
  </conditionalFormatting>
  <conditionalFormatting sqref="J19">
    <cfRule type="expression" dxfId="62" priority="64">
      <formula>$J$19&lt;$G$19</formula>
    </cfRule>
    <cfRule type="expression" dxfId="61" priority="31">
      <formula>$J$19=0</formula>
    </cfRule>
    <cfRule type="expression" dxfId="60" priority="60">
      <formula>$G$19="Levy"</formula>
    </cfRule>
  </conditionalFormatting>
  <conditionalFormatting sqref="J20">
    <cfRule type="expression" dxfId="59" priority="63">
      <formula>$J$20&lt;$G$20</formula>
    </cfRule>
    <cfRule type="expression" dxfId="58" priority="30">
      <formula>$J$20=0</formula>
    </cfRule>
    <cfRule type="expression" dxfId="57" priority="59">
      <formula>$G$20="Levy"</formula>
    </cfRule>
  </conditionalFormatting>
  <conditionalFormatting sqref="J21">
    <cfRule type="expression" dxfId="56" priority="62">
      <formula>$J$21&lt;$G$21</formula>
    </cfRule>
    <cfRule type="expression" dxfId="55" priority="29">
      <formula>$J$21=0</formula>
    </cfRule>
    <cfRule type="expression" dxfId="54" priority="58">
      <formula>$G$21="Levy"</formula>
    </cfRule>
  </conditionalFormatting>
  <conditionalFormatting sqref="J22">
    <cfRule type="expression" dxfId="53" priority="17">
      <formula>$G$22="Levy"</formula>
    </cfRule>
    <cfRule type="expression" dxfId="52" priority="28">
      <formula>$J$22&lt;$G$22</formula>
    </cfRule>
    <cfRule type="expression" dxfId="51" priority="13">
      <formula>$J$22=0</formula>
    </cfRule>
  </conditionalFormatting>
  <conditionalFormatting sqref="J23">
    <cfRule type="expression" dxfId="50" priority="12">
      <formula>$J$23=0</formula>
    </cfRule>
    <cfRule type="expression" dxfId="49" priority="27">
      <formula>$J$23&lt;$G$23</formula>
    </cfRule>
    <cfRule type="expression" dxfId="48" priority="16">
      <formula>$G$23="Levy"</formula>
    </cfRule>
  </conditionalFormatting>
  <conditionalFormatting sqref="J24">
    <cfRule type="expression" dxfId="47" priority="11">
      <formula>$J$24=0</formula>
    </cfRule>
    <cfRule type="expression" dxfId="46" priority="26">
      <formula>$J$24&lt;$G$24</formula>
    </cfRule>
    <cfRule type="expression" dxfId="45" priority="15">
      <formula>$G$24="Levy"</formula>
    </cfRule>
  </conditionalFormatting>
  <conditionalFormatting sqref="J25">
    <cfRule type="expression" dxfId="44" priority="10">
      <formula>$J$25=0</formula>
    </cfRule>
    <cfRule type="expression" dxfId="43" priority="14">
      <formula>$G$25="Levy"</formula>
    </cfRule>
    <cfRule type="expression" dxfId="42" priority="25">
      <formula>$J$25&lt;$G$25</formula>
    </cfRule>
  </conditionalFormatting>
  <conditionalFormatting sqref="J26">
    <cfRule type="expression" dxfId="41" priority="61">
      <formula>$J$26&lt;$G$26</formula>
    </cfRule>
    <cfRule type="expression" dxfId="40" priority="57">
      <formula>$G$26="Levy"</formula>
    </cfRule>
    <cfRule type="expression" dxfId="39" priority="24">
      <formula>$J$26=0</formula>
    </cfRule>
  </conditionalFormatting>
  <conditionalFormatting sqref="J27">
    <cfRule type="expression" dxfId="38" priority="9">
      <formula>$G$27="Levy"</formula>
    </cfRule>
    <cfRule type="expression" dxfId="37" priority="8">
      <formula>$J$27=0</formula>
    </cfRule>
    <cfRule type="expression" dxfId="36" priority="23">
      <formula>$J$27&lt;$G$27</formula>
    </cfRule>
  </conditionalFormatting>
  <conditionalFormatting sqref="J28">
    <cfRule type="expression" dxfId="35" priority="54">
      <formula>$G$28="Levy"</formula>
    </cfRule>
    <cfRule type="expression" dxfId="34" priority="55">
      <formula>$J$28&lt;$G$28</formula>
    </cfRule>
    <cfRule type="expression" dxfId="33" priority="22">
      <formula>$J$28=0</formula>
    </cfRule>
  </conditionalFormatting>
  <conditionalFormatting sqref="J29:J31">
    <cfRule type="expression" dxfId="32" priority="52">
      <formula>$G$29="Levy"</formula>
    </cfRule>
    <cfRule type="expression" dxfId="31" priority="53">
      <formula>$J$29&lt;$G$29</formula>
    </cfRule>
    <cfRule type="expression" dxfId="30" priority="21">
      <formula>$J$29=0</formula>
    </cfRule>
  </conditionalFormatting>
  <conditionalFormatting sqref="J32">
    <cfRule type="expression" dxfId="29" priority="50">
      <formula>$G$32="Levy"</formula>
    </cfRule>
    <cfRule type="expression" dxfId="28" priority="51">
      <formula>$J$32&lt;$G$32</formula>
    </cfRule>
    <cfRule type="expression" dxfId="27" priority="20">
      <formula>$J$32=0</formula>
    </cfRule>
  </conditionalFormatting>
  <conditionalFormatting sqref="J33">
    <cfRule type="expression" dxfId="26" priority="48">
      <formula>$G$33="Levy"</formula>
    </cfRule>
    <cfRule type="expression" dxfId="25" priority="49">
      <formula>$J$33&lt;$G$33</formula>
    </cfRule>
    <cfRule type="expression" dxfId="24" priority="19">
      <formula>$J$33=0</formula>
    </cfRule>
  </conditionalFormatting>
  <conditionalFormatting sqref="J34">
    <cfRule type="expression" dxfId="23" priority="92">
      <formula>$J$34&lt;$G$34</formula>
    </cfRule>
    <cfRule type="expression" dxfId="22" priority="18">
      <formula>$J$34=0</formula>
    </cfRule>
    <cfRule type="expression" dxfId="21" priority="47">
      <formula>$G$34="Levy"</formula>
    </cfRule>
  </conditionalFormatting>
  <conditionalFormatting sqref="J13:N13">
    <cfRule type="expression" dxfId="20" priority="88">
      <formula>$I$14&lt;0</formula>
    </cfRule>
    <cfRule type="expression" dxfId="19" priority="109">
      <formula>$I$13="N/A"</formula>
    </cfRule>
  </conditionalFormatting>
  <conditionalFormatting sqref="J14:N14">
    <cfRule type="expression" dxfId="18" priority="99">
      <formula>$I$14&lt;0</formula>
    </cfRule>
  </conditionalFormatting>
  <conditionalFormatting sqref="L35">
    <cfRule type="expression" dxfId="17" priority="95">
      <formula>$L$37=0</formula>
    </cfRule>
  </conditionalFormatting>
  <conditionalFormatting sqref="L37">
    <cfRule type="expression" dxfId="16" priority="97">
      <formula>$L$37&gt;0</formula>
    </cfRule>
    <cfRule type="expression" dxfId="15" priority="98">
      <formula>$L$37&lt;0</formula>
    </cfRule>
  </conditionalFormatting>
  <conditionalFormatting sqref="L39">
    <cfRule type="expression" dxfId="14" priority="68">
      <formula>$L$39&lt;0</formula>
    </cfRule>
  </conditionalFormatting>
  <conditionalFormatting sqref="L41">
    <cfRule type="expression" dxfId="13" priority="67">
      <formula>$L$41&lt;0</formula>
    </cfRule>
  </conditionalFormatting>
  <conditionalFormatting sqref="L40:N40">
    <cfRule type="expression" dxfId="12" priority="66">
      <formula>$L$39&lt;0</formula>
    </cfRule>
  </conditionalFormatting>
  <conditionalFormatting sqref="L42:N42">
    <cfRule type="expression" dxfId="11" priority="65">
      <formula>$L$41&lt;0</formula>
    </cfRule>
  </conditionalFormatting>
  <conditionalFormatting sqref="M18:M34">
    <cfRule type="cellIs" dxfId="10" priority="140" operator="greaterThan">
      <formula>$E18</formula>
    </cfRule>
  </conditionalFormatting>
  <conditionalFormatting sqref="M35:N35">
    <cfRule type="expression" dxfId="9" priority="96">
      <formula>$L$37=0</formula>
    </cfRule>
  </conditionalFormatting>
  <pageMargins left="0.4" right="0.4" top="0.73" bottom="0.79" header="0.5" footer="0.49"/>
  <pageSetup scale="64" orientation="landscape" r:id="rId1"/>
  <headerFooter alignWithMargins="0"/>
  <ignoredErrors>
    <ignoredError sqref="I9:I10" unlockedFormula="1"/>
  </ignoredErrors>
  <extLst>
    <ext xmlns:x14="http://schemas.microsoft.com/office/spreadsheetml/2009/9/main" uri="{78C0D931-6437-407d-A8EE-F0AAD7539E65}">
      <x14:conditionalFormattings>
        <x14:conditionalFormatting xmlns:xm="http://schemas.microsoft.com/office/excel/2006/main">
          <x14:cfRule type="expression" priority="32" id="{F533E96E-9F42-40B7-984F-046851FCFBCD}">
            <xm:f>Input!$C$19="No"</xm:f>
            <x14:dxf>
              <font>
                <color auto="1"/>
              </font>
              <fill>
                <patternFill>
                  <bgColor theme="4" tint="0.79998168889431442"/>
                </patternFill>
              </fill>
            </x14:dxf>
          </x14:cfRule>
          <xm:sqref>F18:F34</xm:sqref>
        </x14:conditionalFormatting>
        <x14:conditionalFormatting xmlns:xm="http://schemas.microsoft.com/office/excel/2006/main">
          <x14:cfRule type="expression" priority="6" id="{F4AE42A3-8719-4A9F-A452-74786C328CB1}">
            <xm:f>Input!$C$19="No"</xm:f>
            <x14:dxf>
              <font>
                <color theme="0"/>
              </font>
              <fill>
                <patternFill patternType="none">
                  <bgColor auto="1"/>
                </patternFill>
              </fill>
              <border>
                <left/>
                <right/>
                <top/>
                <bottom/>
                <vertical/>
                <horizontal/>
              </border>
            </x14:dxf>
          </x14:cfRule>
          <xm:sqref>G9:H9</xm:sqref>
        </x14:conditionalFormatting>
        <x14:conditionalFormatting xmlns:xm="http://schemas.microsoft.com/office/excel/2006/main">
          <x14:cfRule type="expression" priority="2" id="{A4DF056B-D141-4261-9864-C58BA8D9B92A}">
            <xm:f>Input!$C$19="No"</xm:f>
            <x14:dxf>
              <font>
                <color theme="0"/>
              </font>
            </x14:dxf>
          </x14:cfRule>
          <xm:sqref>H3</xm:sqref>
        </x14:conditionalFormatting>
        <x14:conditionalFormatting xmlns:xm="http://schemas.microsoft.com/office/excel/2006/main">
          <x14:cfRule type="expression" priority="3" id="{ABCB0033-D817-40D3-A319-1EBCB6610FEB}">
            <xm:f>Input!$C$19="No"</xm:f>
            <x14:dxf>
              <font>
                <color theme="0"/>
              </font>
              <fill>
                <patternFill patternType="none">
                  <bgColor auto="1"/>
                </patternFill>
              </fill>
              <border>
                <left/>
                <right/>
                <top style="thin">
                  <color auto="1"/>
                </top>
                <bottom style="thin">
                  <color auto="1"/>
                </bottom>
              </border>
            </x14:dxf>
          </x14:cfRule>
          <xm:sqref>I3</xm:sqref>
        </x14:conditionalFormatting>
        <x14:conditionalFormatting xmlns:xm="http://schemas.microsoft.com/office/excel/2006/main">
          <x14:cfRule type="expression" priority="5" id="{46E8A2E3-080F-41DF-8449-474619E266C4}">
            <xm:f>Input!$C$19="No"</xm:f>
            <x14:dxf>
              <font>
                <color theme="0"/>
              </font>
              <fill>
                <patternFill patternType="none">
                  <bgColor auto="1"/>
                </patternFill>
              </fill>
              <border>
                <left/>
                <right/>
                <top style="thin">
                  <color auto="1"/>
                </top>
                <bottom style="thin">
                  <color auto="1"/>
                </bottom>
                <vertical/>
                <horizontal/>
              </border>
            </x14:dxf>
          </x14:cfRule>
          <xm:sqref>I9</xm:sqref>
        </x14:conditionalFormatting>
        <x14:conditionalFormatting xmlns:xm="http://schemas.microsoft.com/office/excel/2006/main">
          <x14:cfRule type="expression" priority="7" id="{A9863335-3750-4FD6-ABFB-25E727B1E67F}">
            <xm:f>Input!$C$19="Yes"</xm:f>
            <x14:dxf>
              <fill>
                <patternFill>
                  <bgColor theme="4" tint="0.79998168889431442"/>
                </patternFill>
              </fill>
            </x14:dxf>
          </x14:cfRule>
          <xm:sqref>I18:J34</xm:sqref>
        </x14:conditionalFormatting>
        <x14:conditionalFormatting xmlns:xm="http://schemas.microsoft.com/office/excel/2006/main">
          <x14:cfRule type="expression" priority="1" id="{D7285E59-9474-43B2-A153-16C8825E13B8}">
            <xm:f>Input!$C$19="No"</xm:f>
            <x14:dxf>
              <font>
                <color theme="0"/>
              </font>
            </x14:dxf>
          </x14:cfRule>
          <xm:sqref>J9</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A976D-F384-440F-861B-2EBE865E2E40}">
  <sheetPr>
    <tabColor theme="5" tint="0.79998168889431442"/>
  </sheetPr>
  <dimension ref="A1:BQ89"/>
  <sheetViews>
    <sheetView showGridLines="0" workbookViewId="0">
      <selection activeCell="I29" sqref="I29"/>
    </sheetView>
  </sheetViews>
  <sheetFormatPr defaultColWidth="0" defaultRowHeight="12.75" zeroHeight="1" x14ac:dyDescent="0.2"/>
  <cols>
    <col min="1" max="1" width="44.85546875" style="133" bestFit="1" customWidth="1"/>
    <col min="2" max="2" width="16.5703125" style="133" customWidth="1"/>
    <col min="3" max="4" width="9.140625" style="133" customWidth="1"/>
    <col min="5" max="5" width="10" style="133" customWidth="1"/>
    <col min="6" max="6" width="10.85546875" style="133" customWidth="1"/>
    <col min="7" max="7" width="10" style="133" customWidth="1"/>
    <col min="8" max="8" width="2.85546875" style="133" customWidth="1"/>
    <col min="9" max="9" width="13" style="133" customWidth="1"/>
    <col min="10" max="10" width="10.5703125" style="133" customWidth="1"/>
    <col min="11" max="12" width="9.140625" style="133" customWidth="1"/>
    <col min="13" max="13" width="16.5703125" style="133" customWidth="1"/>
    <col min="14" max="14" width="7.42578125" style="133" customWidth="1"/>
    <col min="15" max="15" width="13.7109375" style="133" customWidth="1"/>
    <col min="16" max="16" width="4.85546875" style="136" hidden="1" customWidth="1"/>
    <col min="17" max="21" width="9.140625" style="136" hidden="1" customWidth="1"/>
    <col min="22" max="23" width="0" style="136" hidden="1" customWidth="1"/>
    <col min="24" max="28" width="0" style="152" hidden="1" customWidth="1"/>
    <col min="29" max="30" width="0" style="136" hidden="1" customWidth="1"/>
    <col min="31" max="69" width="0" style="133" hidden="1" customWidth="1"/>
    <col min="70" max="16384" width="9.140625" style="133" hidden="1"/>
  </cols>
  <sheetData>
    <row r="1" spans="1:28" ht="16.5" thickBot="1" x14ac:dyDescent="0.3">
      <c r="A1" s="156"/>
      <c r="B1" s="156"/>
      <c r="C1" s="156"/>
      <c r="D1" s="156"/>
      <c r="E1" s="134"/>
      <c r="F1" s="135" t="s">
        <v>32</v>
      </c>
      <c r="G1" s="134"/>
      <c r="H1" s="134"/>
      <c r="I1" s="156"/>
      <c r="J1" s="156"/>
      <c r="K1" s="156"/>
      <c r="L1" s="156"/>
      <c r="M1" s="156"/>
      <c r="N1" s="156"/>
      <c r="O1" s="156"/>
    </row>
    <row r="2" spans="1:28" ht="18.75" x14ac:dyDescent="0.3">
      <c r="A2" s="284" t="str">
        <f>Input!$C$9&amp;" Taxpayer Impact Calculation Page"</f>
        <v>2024 Taxpayer Impact Calculation Page</v>
      </c>
      <c r="B2" s="284"/>
      <c r="C2" s="156"/>
      <c r="D2" s="156"/>
      <c r="E2" s="137"/>
      <c r="F2" s="138" t="s">
        <v>30</v>
      </c>
      <c r="G2" s="139"/>
      <c r="H2" s="134"/>
      <c r="I2" s="156"/>
      <c r="J2" s="156"/>
      <c r="K2" s="156"/>
      <c r="L2" s="156"/>
      <c r="M2" s="156"/>
      <c r="N2" s="156"/>
      <c r="O2" s="156"/>
    </row>
    <row r="3" spans="1:28" x14ac:dyDescent="0.2">
      <c r="A3" s="156"/>
      <c r="B3" s="156"/>
      <c r="C3" s="156"/>
      <c r="D3" s="156"/>
      <c r="E3" s="140"/>
      <c r="F3" s="141" t="s">
        <v>31</v>
      </c>
      <c r="G3" s="142"/>
      <c r="H3" s="134"/>
      <c r="I3" s="156"/>
      <c r="J3" s="156"/>
      <c r="K3" s="156"/>
      <c r="L3" s="156"/>
      <c r="M3" s="156"/>
      <c r="N3" s="156"/>
      <c r="O3" s="156"/>
    </row>
    <row r="4" spans="1:28" ht="16.5" thickBot="1" x14ac:dyDescent="0.3">
      <c r="A4" s="156"/>
      <c r="B4" s="143" t="s">
        <v>112</v>
      </c>
      <c r="C4" s="156"/>
      <c r="D4" s="156"/>
      <c r="E4" s="144"/>
      <c r="F4" s="145" t="s">
        <v>35</v>
      </c>
      <c r="G4" s="146"/>
      <c r="H4" s="134"/>
      <c r="I4" s="156"/>
      <c r="J4" s="156"/>
      <c r="K4" s="156"/>
      <c r="L4" s="156"/>
      <c r="M4" s="147" t="s">
        <v>113</v>
      </c>
      <c r="N4" s="156"/>
      <c r="O4" s="156"/>
    </row>
    <row r="5" spans="1:28" x14ac:dyDescent="0.2">
      <c r="A5" s="156"/>
      <c r="B5" s="156"/>
      <c r="C5" s="156"/>
      <c r="D5" s="156"/>
      <c r="H5" s="156"/>
      <c r="I5" s="156"/>
      <c r="J5" s="156"/>
      <c r="K5" s="156"/>
      <c r="L5" s="156"/>
      <c r="M5" s="156"/>
      <c r="N5" s="156"/>
      <c r="O5" s="156"/>
    </row>
    <row r="6" spans="1:28" ht="15.75" x14ac:dyDescent="0.25">
      <c r="A6" s="143" t="str">
        <f>Extension!H8</f>
        <v xml:space="preserve">Actual % Change to Existing EAV for 2024 </v>
      </c>
      <c r="B6" s="148">
        <f>Extension!I8</f>
        <v>0</v>
      </c>
      <c r="C6" s="156"/>
      <c r="D6" s="156"/>
      <c r="L6" s="149" t="str">
        <f>(Input!$C$9-1)&amp; " Fair Cash / Market Value Home"</f>
        <v>2023 Fair Cash / Market Value Home</v>
      </c>
      <c r="M6" s="150"/>
      <c r="Q6" s="151"/>
    </row>
    <row r="7" spans="1:28" ht="15.75" x14ac:dyDescent="0.25">
      <c r="A7" s="143" t="str">
        <f>"Actual EAV Value for "&amp; Input!C9&amp;" "</f>
        <v xml:space="preserve">Actual EAV Value for 2024 </v>
      </c>
      <c r="B7" s="153">
        <f>Extension!I10</f>
        <v>0</v>
      </c>
      <c r="C7" s="156"/>
      <c r="D7" s="156"/>
      <c r="I7" s="156"/>
      <c r="J7" s="156"/>
      <c r="K7" s="156"/>
      <c r="L7" s="149"/>
      <c r="M7" s="149"/>
      <c r="N7" s="156"/>
      <c r="O7" s="156"/>
      <c r="Q7" s="151"/>
      <c r="Z7" s="152">
        <f>'Tax Calculator - Calculations'!Z7</f>
        <v>0</v>
      </c>
      <c r="AB7" s="152" t="s">
        <v>114</v>
      </c>
    </row>
    <row r="8" spans="1:28" ht="15.75" x14ac:dyDescent="0.2">
      <c r="A8" s="154"/>
      <c r="B8" s="155"/>
      <c r="C8" s="156"/>
      <c r="D8" s="156"/>
      <c r="I8" s="156"/>
      <c r="J8" s="156"/>
      <c r="K8" s="156"/>
      <c r="L8" s="149" t="str">
        <f>"Estimated "&amp;Input!C9&amp;" Fair Cash Value Home"</f>
        <v>Estimated 2024 Fair Cash Value Home</v>
      </c>
      <c r="M8" s="153">
        <f>M6*(1+B6)</f>
        <v>0</v>
      </c>
      <c r="N8" s="157" t="s">
        <v>115</v>
      </c>
      <c r="O8" s="156"/>
      <c r="Q8" s="151"/>
      <c r="X8" s="152" t="s">
        <v>105</v>
      </c>
      <c r="Y8" s="158">
        <v>0.1</v>
      </c>
      <c r="Z8" s="152">
        <f>'Tax Calculator - Calculations'!Z8</f>
        <v>3.0163000000000002</v>
      </c>
      <c r="AA8" s="152">
        <v>10000</v>
      </c>
      <c r="AB8" s="152">
        <v>10000</v>
      </c>
    </row>
    <row r="9" spans="1:28" ht="15.75" x14ac:dyDescent="0.25">
      <c r="A9" s="143" t="str">
        <f>Extension!H9</f>
        <v xml:space="preserve">Actual New Property for 2024 </v>
      </c>
      <c r="B9" s="153">
        <f>Extension!I9</f>
        <v>0</v>
      </c>
      <c r="C9" s="156"/>
      <c r="D9" s="156"/>
      <c r="I9" s="156"/>
      <c r="J9" s="156"/>
      <c r="K9" s="156"/>
      <c r="L9" s="149"/>
      <c r="M9" s="149"/>
      <c r="N9" s="157"/>
      <c r="O9" s="156"/>
      <c r="Q9" s="151"/>
      <c r="X9" s="152" t="s">
        <v>107</v>
      </c>
      <c r="Y9" s="158">
        <f>((1/3)*100)%</f>
        <v>0.33333333333333326</v>
      </c>
      <c r="Z9" s="152">
        <f>'Tax Calculator - Calculations'!Z9</f>
        <v>1</v>
      </c>
      <c r="AA9" s="152">
        <v>8000</v>
      </c>
      <c r="AB9" s="152">
        <v>6000</v>
      </c>
    </row>
    <row r="10" spans="1:28" ht="15.75" hidden="1" x14ac:dyDescent="0.25">
      <c r="A10" s="143"/>
      <c r="B10" s="153"/>
      <c r="C10" s="156"/>
      <c r="D10" s="156"/>
      <c r="I10" s="156"/>
      <c r="J10" s="156"/>
      <c r="K10" s="156"/>
      <c r="L10" s="149"/>
      <c r="M10" s="149"/>
      <c r="N10" s="157"/>
      <c r="O10" s="156"/>
      <c r="Q10" s="151"/>
      <c r="Y10" s="158"/>
    </row>
    <row r="11" spans="1:28" ht="15.75" x14ac:dyDescent="0.25">
      <c r="A11" s="143" t="str">
        <f>"Actual Total EAV Value for "&amp; Input!C9&amp;" "</f>
        <v xml:space="preserve">Actual Total EAV Value for 2024 </v>
      </c>
      <c r="B11" s="153">
        <f>B7+B9</f>
        <v>0</v>
      </c>
      <c r="C11" s="157" t="s">
        <v>36</v>
      </c>
      <c r="D11" s="156"/>
      <c r="I11" s="156"/>
      <c r="J11" s="156"/>
      <c r="K11" s="156"/>
      <c r="L11" s="149" t="s">
        <v>116</v>
      </c>
      <c r="M11" s="153">
        <f>M8*N11</f>
        <v>0</v>
      </c>
      <c r="N11" s="159">
        <f>IF(Input!$C$13="Cook",'Tax Calculator - Extension'!Y8,'Tax Calculator - Extension'!Y9)</f>
        <v>0.33333333333333326</v>
      </c>
      <c r="O11" s="156"/>
      <c r="X11" s="152" t="s">
        <v>111</v>
      </c>
      <c r="Y11" s="158"/>
      <c r="AA11" s="152">
        <v>8000</v>
      </c>
    </row>
    <row r="12" spans="1:28" ht="15.75" customHeight="1" x14ac:dyDescent="0.2">
      <c r="A12" s="156"/>
      <c r="B12" s="156"/>
      <c r="C12" s="156"/>
      <c r="D12" s="156"/>
      <c r="I12" s="156"/>
      <c r="J12" s="156"/>
      <c r="K12" s="156"/>
      <c r="L12" s="149" t="s">
        <v>117</v>
      </c>
      <c r="M12" s="153">
        <f>M11*N12</f>
        <v>0</v>
      </c>
      <c r="N12" s="160">
        <f>IF(Input!$C$13="Cook",'Tax Calculator - Extension'!Z8,'Tax Calculator - Extension'!Z9)</f>
        <v>1</v>
      </c>
      <c r="O12" s="156"/>
      <c r="X12" s="152" t="s">
        <v>118</v>
      </c>
      <c r="Y12" s="158"/>
      <c r="AA12" s="152">
        <v>8000</v>
      </c>
    </row>
    <row r="13" spans="1:28" ht="15.75" x14ac:dyDescent="0.2">
      <c r="A13" s="149" t="str">
        <f>Input!$C$9-1&amp;" Operating Rate"</f>
        <v>2023 Operating Rate</v>
      </c>
      <c r="B13" s="161" t="e">
        <f>(Input!D68/Input!C30)*100</f>
        <v>#DIV/0!</v>
      </c>
      <c r="C13" s="156"/>
      <c r="D13" s="156"/>
      <c r="I13" s="156"/>
      <c r="J13" s="156"/>
      <c r="K13" s="156"/>
      <c r="L13" s="156"/>
      <c r="M13" s="156"/>
      <c r="N13" s="156"/>
      <c r="O13" s="156"/>
      <c r="X13" s="152" t="s">
        <v>119</v>
      </c>
      <c r="Y13" s="158"/>
      <c r="AA13" s="152">
        <v>8000</v>
      </c>
    </row>
    <row r="14" spans="1:28" ht="16.5" thickBot="1" x14ac:dyDescent="0.25">
      <c r="A14" s="149" t="str">
        <f>"Estimated "&amp;Input!$C$9&amp;" Operating Rate"</f>
        <v>Estimated 2024 Operating Rate</v>
      </c>
      <c r="B14" s="161" t="e">
        <f>Extension!N37</f>
        <v>#DIV/0!</v>
      </c>
      <c r="C14" s="230"/>
      <c r="D14" s="156"/>
      <c r="I14" s="156"/>
      <c r="J14" s="156"/>
      <c r="K14" s="156"/>
      <c r="L14" s="11"/>
      <c r="M14" s="11"/>
      <c r="N14" s="285" t="s">
        <v>120</v>
      </c>
      <c r="O14" s="285"/>
      <c r="P14" s="163"/>
      <c r="X14" s="152" t="s">
        <v>106</v>
      </c>
      <c r="Y14" s="158"/>
      <c r="AA14" s="152">
        <v>8000</v>
      </c>
    </row>
    <row r="15" spans="1:28" ht="15.75" customHeight="1" x14ac:dyDescent="0.2">
      <c r="A15" s="149" t="str">
        <f>"Actual "&amp;Input!$C$9&amp;" Bond &amp; Interest Tax Rate"</f>
        <v>Actual 2024 Bond &amp; Interest Tax Rate</v>
      </c>
      <c r="B15" s="161" t="e">
        <f>((Extension!I43*(1+B17)/B11*100)+0.0000001)</f>
        <v>#DIV/0!</v>
      </c>
      <c r="C15" s="157" t="s">
        <v>121</v>
      </c>
      <c r="D15" s="156"/>
      <c r="E15" s="286" t="s">
        <v>136</v>
      </c>
      <c r="F15" s="287"/>
      <c r="G15" s="288"/>
      <c r="I15" s="156"/>
      <c r="J15" s="156"/>
      <c r="K15" s="156"/>
      <c r="L15" s="149" t="s">
        <v>151</v>
      </c>
      <c r="M15" s="162">
        <f>IF(Input!$C$13="Cook",'Tax Calculator - Extension'!AA8,IF(Input!$C$13="DuPage",'Tax Calculator - Extension'!AA9,IF(Input!C13="Lake",'Tax Calculator - Extension'!AA11,IF(Input!C13="McHenry",'Tax Calculator - Extension'!AA12,IF(Input!C13="Kane",'Tax Calculator - Extension'!AA13,IF(Input!C13="Will",'Tax Calculator - Extension'!AA14,AA15))))))</f>
        <v>6000</v>
      </c>
      <c r="N15" s="285"/>
      <c r="O15" s="285"/>
      <c r="P15" s="163"/>
      <c r="AA15" s="152">
        <v>6000</v>
      </c>
    </row>
    <row r="16" spans="1:28" ht="15.75" x14ac:dyDescent="0.2">
      <c r="A16" s="149"/>
      <c r="B16" s="149"/>
      <c r="C16" s="149"/>
      <c r="D16" s="149"/>
      <c r="E16" s="289"/>
      <c r="F16" s="290"/>
      <c r="G16" s="291"/>
      <c r="I16" s="156"/>
      <c r="J16" s="156"/>
      <c r="K16" s="156"/>
      <c r="L16" s="156"/>
      <c r="M16" s="156"/>
      <c r="N16" s="164"/>
      <c r="O16" s="164"/>
    </row>
    <row r="17" spans="1:28" ht="16.5" thickBot="1" x14ac:dyDescent="0.25">
      <c r="A17" s="149" t="s">
        <v>122</v>
      </c>
      <c r="B17" s="165"/>
      <c r="C17" s="157"/>
      <c r="E17" s="292"/>
      <c r="F17" s="293"/>
      <c r="G17" s="294"/>
      <c r="I17" s="156"/>
      <c r="J17" s="156"/>
      <c r="K17" s="156"/>
      <c r="L17" s="149" t="s">
        <v>123</v>
      </c>
      <c r="M17" s="162">
        <f>M12-M15</f>
        <v>-6000</v>
      </c>
      <c r="N17" s="166"/>
      <c r="O17" s="167"/>
    </row>
    <row r="18" spans="1:28" ht="12.75" customHeight="1" x14ac:dyDescent="0.2">
      <c r="I18" s="156"/>
      <c r="J18" s="156"/>
      <c r="K18" s="156"/>
      <c r="L18" s="156"/>
      <c r="M18" s="156"/>
      <c r="N18" s="156"/>
      <c r="O18" s="156"/>
    </row>
    <row r="19" spans="1:28" ht="15.75" x14ac:dyDescent="0.2">
      <c r="A19" s="149" t="s">
        <v>124</v>
      </c>
      <c r="B19" s="168"/>
      <c r="C19" s="169" t="s">
        <v>125</v>
      </c>
      <c r="I19" s="156"/>
      <c r="J19" s="156"/>
      <c r="K19" s="156"/>
      <c r="L19" s="149" t="str">
        <f>"Estimated Change in Tax Payment for "&amp; Input!C9</f>
        <v>Estimated Change in Tax Payment for 2024</v>
      </c>
      <c r="M19" s="162" t="e">
        <f>(M17*(B27)/100)-(((((M6*N11)*IF(Input!C13="Cook",Z7,Z9))-M15)*(B28)/100))</f>
        <v>#DIV/0!</v>
      </c>
      <c r="N19" s="156"/>
      <c r="O19" s="156"/>
    </row>
    <row r="20" spans="1:28" ht="15.75" x14ac:dyDescent="0.2">
      <c r="A20" s="149" t="s">
        <v>126</v>
      </c>
      <c r="B20" s="161" t="e">
        <f>((B19*(1+B17))/B11*100)</f>
        <v>#DIV/0!</v>
      </c>
      <c r="C20" s="169" t="s">
        <v>127</v>
      </c>
      <c r="D20" s="156"/>
      <c r="E20" s="156"/>
      <c r="F20" s="156"/>
      <c r="G20" s="156"/>
      <c r="H20" s="156"/>
      <c r="I20" s="156"/>
      <c r="J20" s="156"/>
      <c r="K20" s="156"/>
      <c r="L20" s="156"/>
      <c r="M20" s="156"/>
      <c r="N20" s="156"/>
      <c r="O20" s="156"/>
    </row>
    <row r="21" spans="1:28" ht="15.75" customHeight="1" x14ac:dyDescent="0.2">
      <c r="A21" s="149"/>
      <c r="B21" s="149"/>
      <c r="C21" s="169"/>
      <c r="D21" s="156"/>
      <c r="E21" s="156"/>
      <c r="F21" s="156"/>
      <c r="G21" s="156"/>
      <c r="H21" s="156"/>
      <c r="I21" s="170" t="str">
        <f>"Note, the calculator is intended to estimate the "&amp;Input!C11&amp;" portion of the tax bill."</f>
        <v>Note, the calculator is intended to estimate the  portion of the tax bill.</v>
      </c>
      <c r="J21" s="170"/>
      <c r="K21" s="170"/>
      <c r="L21" s="170"/>
      <c r="M21" s="170"/>
      <c r="N21" s="170"/>
      <c r="O21" s="156"/>
    </row>
    <row r="22" spans="1:28" ht="15.75" customHeight="1" x14ac:dyDescent="0.2">
      <c r="A22" s="149" t="str">
        <f>"Net "&amp;Input!$C$9&amp;" B&amp;I Tax Rate"</f>
        <v>Net 2024 B&amp;I Tax Rate</v>
      </c>
      <c r="B22" s="161" t="e">
        <f>(IF(B15&gt;B20,B15-B20,"Check Abatement"))</f>
        <v>#DIV/0!</v>
      </c>
      <c r="C22" s="156"/>
      <c r="D22" s="156"/>
      <c r="E22" s="156"/>
      <c r="F22" s="156"/>
      <c r="G22" s="156"/>
      <c r="H22" s="156"/>
      <c r="I22" s="295" t="s">
        <v>164</v>
      </c>
      <c r="J22" s="295"/>
      <c r="K22" s="295"/>
      <c r="L22" s="295"/>
      <c r="M22" s="295"/>
      <c r="N22" s="295"/>
      <c r="O22" s="295"/>
    </row>
    <row r="23" spans="1:28" ht="18.75" customHeight="1" x14ac:dyDescent="0.2">
      <c r="A23" s="149"/>
      <c r="B23" s="149"/>
      <c r="C23" s="169"/>
      <c r="D23" s="156"/>
      <c r="E23" s="156"/>
      <c r="F23" s="156"/>
      <c r="G23" s="156"/>
      <c r="H23" s="156"/>
      <c r="I23" s="295"/>
      <c r="J23" s="295"/>
      <c r="K23" s="295"/>
      <c r="L23" s="295"/>
      <c r="M23" s="295"/>
      <c r="N23" s="295"/>
      <c r="O23" s="295"/>
    </row>
    <row r="24" spans="1:28" s="136" customFormat="1" ht="16.5" customHeight="1" x14ac:dyDescent="0.2">
      <c r="A24" s="149" t="str">
        <f>"Actual "&amp;Input!$C$9&amp;" Special Recreation Rate"</f>
        <v>Actual 2024 Special Recreation Rate</v>
      </c>
      <c r="B24" s="162" t="e">
        <f>Extension!$J39</f>
        <v>#DIV/0!</v>
      </c>
      <c r="C24" s="169"/>
      <c r="D24" s="156"/>
      <c r="E24" s="156"/>
      <c r="F24" s="156"/>
      <c r="G24" s="156"/>
      <c r="H24" s="156"/>
      <c r="I24" s="295"/>
      <c r="J24" s="295"/>
      <c r="K24" s="295"/>
      <c r="L24" s="295"/>
      <c r="M24" s="295"/>
      <c r="N24" s="295"/>
      <c r="O24" s="295"/>
      <c r="X24" s="152"/>
      <c r="Y24" s="152"/>
      <c r="Z24" s="152"/>
      <c r="AA24" s="152"/>
      <c r="AB24" s="152"/>
    </row>
    <row r="25" spans="1:28" s="136" customFormat="1" ht="16.5" customHeight="1" x14ac:dyDescent="0.2">
      <c r="A25" s="203" t="str">
        <f>"Actual "&amp;Input!$C$9&amp;" Museum Rate"</f>
        <v>Actual 2024 Museum Rate</v>
      </c>
      <c r="B25" s="231" t="e">
        <f>Extension!$J41</f>
        <v>#DIV/0!</v>
      </c>
      <c r="C25" s="169"/>
      <c r="D25" s="156"/>
      <c r="E25" s="156"/>
      <c r="F25" s="156"/>
      <c r="G25" s="156"/>
      <c r="H25" s="156"/>
      <c r="I25" s="170"/>
      <c r="J25" s="170"/>
      <c r="K25" s="170"/>
      <c r="L25" s="170"/>
      <c r="M25" s="170"/>
      <c r="N25" s="170"/>
      <c r="O25" s="170"/>
      <c r="X25" s="152"/>
      <c r="Y25" s="152"/>
      <c r="Z25" s="152"/>
      <c r="AA25" s="152"/>
      <c r="AB25" s="152"/>
    </row>
    <row r="26" spans="1:28" s="136" customFormat="1" x14ac:dyDescent="0.2">
      <c r="A26" s="156"/>
      <c r="B26" s="172"/>
      <c r="C26" s="156"/>
      <c r="D26" s="156"/>
      <c r="E26" s="156"/>
      <c r="F26" s="156"/>
      <c r="G26" s="156"/>
      <c r="H26" s="156"/>
      <c r="I26" s="170"/>
      <c r="J26" s="170"/>
      <c r="K26" s="170"/>
      <c r="L26" s="170"/>
      <c r="M26" s="170"/>
      <c r="N26" s="170"/>
      <c r="O26" s="170"/>
      <c r="X26" s="152"/>
      <c r="Y26" s="152"/>
      <c r="Z26" s="152"/>
      <c r="AA26" s="152"/>
      <c r="AB26" s="152"/>
    </row>
    <row r="27" spans="1:28" s="136" customFormat="1" ht="15.75" x14ac:dyDescent="0.2">
      <c r="A27" s="149" t="str">
        <f>"Total "&amp;Input!$C$9&amp;" Tax Rate"</f>
        <v>Total 2024 Tax Rate</v>
      </c>
      <c r="B27" s="161" t="e">
        <f>B22+B14+B24+B25</f>
        <v>#DIV/0!</v>
      </c>
      <c r="C27" s="156"/>
      <c r="D27" s="156"/>
      <c r="E27" s="156"/>
      <c r="F27" s="156"/>
      <c r="G27" s="156"/>
      <c r="H27" s="156"/>
      <c r="I27" s="170"/>
      <c r="J27" s="170"/>
      <c r="K27" s="170"/>
      <c r="L27" s="170"/>
      <c r="M27" s="170"/>
      <c r="N27" s="170"/>
      <c r="O27" s="170"/>
      <c r="X27" s="152"/>
      <c r="Y27" s="152"/>
      <c r="Z27" s="152"/>
      <c r="AA27" s="152"/>
      <c r="AB27" s="152"/>
    </row>
    <row r="28" spans="1:28" s="136" customFormat="1" ht="15.75" x14ac:dyDescent="0.2">
      <c r="A28" s="149" t="s">
        <v>128</v>
      </c>
      <c r="B28" s="161" t="e">
        <f>Input!D76/Input!C30*100</f>
        <v>#DIV/0!</v>
      </c>
      <c r="C28" s="156"/>
      <c r="D28" s="156"/>
      <c r="E28" s="156"/>
      <c r="F28" s="156"/>
      <c r="G28" s="156"/>
      <c r="H28" s="156"/>
      <c r="I28" s="173"/>
      <c r="J28" s="173"/>
      <c r="K28" s="173"/>
      <c r="L28" s="173"/>
      <c r="M28" s="173"/>
      <c r="N28" s="173"/>
      <c r="O28" s="171"/>
      <c r="X28" s="152"/>
      <c r="Y28" s="152"/>
      <c r="Z28" s="152"/>
      <c r="AA28" s="152"/>
      <c r="AB28" s="152"/>
    </row>
    <row r="29" spans="1:28" s="136" customFormat="1" ht="15.75" x14ac:dyDescent="0.2">
      <c r="A29" s="149"/>
      <c r="B29" s="149"/>
      <c r="C29" s="156"/>
      <c r="D29" s="156"/>
      <c r="E29" s="156"/>
      <c r="F29" s="156"/>
      <c r="G29" s="156"/>
      <c r="H29" s="156"/>
      <c r="I29" s="173"/>
      <c r="J29" s="173"/>
      <c r="K29" s="173"/>
      <c r="L29" s="173"/>
      <c r="M29" s="173"/>
      <c r="N29" s="173"/>
      <c r="O29" s="171"/>
      <c r="X29" s="152"/>
      <c r="Y29" s="152"/>
      <c r="Z29" s="152"/>
      <c r="AA29" s="152"/>
      <c r="AB29" s="152"/>
    </row>
    <row r="30" spans="1:28" s="136" customFormat="1" hidden="1" x14ac:dyDescent="0.2">
      <c r="X30" s="152"/>
      <c r="Y30" s="152"/>
      <c r="Z30" s="152"/>
      <c r="AA30" s="152"/>
      <c r="AB30" s="152"/>
    </row>
    <row r="31" spans="1:28" s="136" customFormat="1" hidden="1" x14ac:dyDescent="0.2">
      <c r="X31" s="152"/>
      <c r="Y31" s="152"/>
      <c r="Z31" s="152"/>
      <c r="AA31" s="152"/>
      <c r="AB31" s="152"/>
    </row>
    <row r="32" spans="1:28" s="136" customFormat="1" hidden="1" x14ac:dyDescent="0.2">
      <c r="X32" s="152"/>
      <c r="Y32" s="152"/>
      <c r="Z32" s="152"/>
      <c r="AA32" s="152"/>
      <c r="AB32" s="152"/>
    </row>
    <row r="33" spans="24:28" s="136" customFormat="1" hidden="1" x14ac:dyDescent="0.2">
      <c r="X33" s="152"/>
      <c r="Y33" s="152"/>
      <c r="Z33" s="152"/>
      <c r="AA33" s="152"/>
      <c r="AB33" s="152"/>
    </row>
    <row r="34" spans="24:28" s="136" customFormat="1" hidden="1" x14ac:dyDescent="0.2">
      <c r="X34" s="152"/>
      <c r="Y34" s="152"/>
      <c r="Z34" s="152"/>
      <c r="AA34" s="152"/>
      <c r="AB34" s="152"/>
    </row>
    <row r="35" spans="24:28" s="136" customFormat="1" hidden="1" x14ac:dyDescent="0.2">
      <c r="X35" s="152"/>
      <c r="Y35" s="152"/>
      <c r="Z35" s="152"/>
      <c r="AA35" s="152"/>
      <c r="AB35" s="152"/>
    </row>
    <row r="36" spans="24:28" s="136" customFormat="1" hidden="1" x14ac:dyDescent="0.2">
      <c r="X36" s="152"/>
      <c r="Y36" s="152"/>
      <c r="Z36" s="152"/>
      <c r="AA36" s="152"/>
      <c r="AB36" s="152"/>
    </row>
    <row r="37" spans="24:28" s="136" customFormat="1" hidden="1" x14ac:dyDescent="0.2">
      <c r="X37" s="152"/>
      <c r="Y37" s="152"/>
      <c r="Z37" s="152"/>
      <c r="AA37" s="152"/>
      <c r="AB37" s="152"/>
    </row>
    <row r="38" spans="24:28" s="136" customFormat="1" hidden="1" x14ac:dyDescent="0.2">
      <c r="X38" s="152"/>
      <c r="Y38" s="152"/>
      <c r="Z38" s="152"/>
      <c r="AA38" s="152"/>
      <c r="AB38" s="152"/>
    </row>
    <row r="39" spans="24:28" s="136" customFormat="1" hidden="1" x14ac:dyDescent="0.2">
      <c r="X39" s="152"/>
      <c r="Y39" s="152"/>
      <c r="Z39" s="152"/>
      <c r="AA39" s="152"/>
      <c r="AB39" s="152"/>
    </row>
    <row r="40" spans="24:28" s="136" customFormat="1" hidden="1" x14ac:dyDescent="0.2">
      <c r="X40" s="152"/>
      <c r="Y40" s="152"/>
      <c r="Z40" s="152"/>
      <c r="AA40" s="152"/>
      <c r="AB40" s="152"/>
    </row>
    <row r="41" spans="24:28" s="136" customFormat="1" hidden="1" x14ac:dyDescent="0.2">
      <c r="X41" s="152"/>
      <c r="Y41" s="152"/>
      <c r="Z41" s="152"/>
      <c r="AA41" s="152"/>
      <c r="AB41" s="152"/>
    </row>
    <row r="42" spans="24:28" s="136" customFormat="1" hidden="1" x14ac:dyDescent="0.2">
      <c r="X42" s="152"/>
      <c r="Y42" s="152"/>
      <c r="Z42" s="152"/>
      <c r="AA42" s="152"/>
      <c r="AB42" s="152"/>
    </row>
    <row r="43" spans="24:28" s="136" customFormat="1" hidden="1" x14ac:dyDescent="0.2">
      <c r="X43" s="152"/>
      <c r="Y43" s="152"/>
      <c r="Z43" s="152"/>
      <c r="AA43" s="152"/>
      <c r="AB43" s="152"/>
    </row>
    <row r="44" spans="24:28" s="136" customFormat="1" hidden="1" x14ac:dyDescent="0.2">
      <c r="X44" s="152"/>
      <c r="Y44" s="152"/>
      <c r="Z44" s="152"/>
      <c r="AA44" s="152"/>
      <c r="AB44" s="152"/>
    </row>
    <row r="45" spans="24:28" s="136" customFormat="1" hidden="1" x14ac:dyDescent="0.2">
      <c r="X45" s="152"/>
      <c r="Y45" s="152"/>
      <c r="Z45" s="152"/>
      <c r="AA45" s="152"/>
      <c r="AB45" s="152"/>
    </row>
    <row r="46" spans="24:28" s="136" customFormat="1" hidden="1" x14ac:dyDescent="0.2">
      <c r="X46" s="152"/>
      <c r="Y46" s="152"/>
      <c r="Z46" s="152"/>
      <c r="AA46" s="152"/>
      <c r="AB46" s="152"/>
    </row>
    <row r="47" spans="24:28" s="136" customFormat="1" hidden="1" x14ac:dyDescent="0.2">
      <c r="X47" s="152"/>
      <c r="Y47" s="152"/>
      <c r="Z47" s="152"/>
      <c r="AA47" s="152"/>
      <c r="AB47" s="152"/>
    </row>
    <row r="48" spans="24:28" s="136" customFormat="1" hidden="1" x14ac:dyDescent="0.2">
      <c r="X48" s="152"/>
      <c r="Y48" s="152"/>
      <c r="Z48" s="152"/>
      <c r="AA48" s="152"/>
      <c r="AB48" s="152"/>
    </row>
    <row r="49" spans="24:28" s="136" customFormat="1" hidden="1" x14ac:dyDescent="0.2">
      <c r="X49" s="152"/>
      <c r="Y49" s="152"/>
      <c r="Z49" s="152"/>
      <c r="AA49" s="152"/>
      <c r="AB49" s="152"/>
    </row>
    <row r="50" spans="24:28" s="136" customFormat="1" hidden="1" x14ac:dyDescent="0.2">
      <c r="X50" s="152"/>
      <c r="Y50" s="152"/>
      <c r="Z50" s="152"/>
      <c r="AA50" s="152"/>
      <c r="AB50" s="152"/>
    </row>
    <row r="51" spans="24:28" s="136" customFormat="1" hidden="1" x14ac:dyDescent="0.2">
      <c r="X51" s="152"/>
      <c r="Y51" s="152"/>
      <c r="Z51" s="152"/>
      <c r="AA51" s="152"/>
      <c r="AB51" s="152"/>
    </row>
    <row r="52" spans="24:28" s="136" customFormat="1" hidden="1" x14ac:dyDescent="0.2">
      <c r="X52" s="152"/>
      <c r="Y52" s="152"/>
      <c r="Z52" s="152"/>
      <c r="AA52" s="152"/>
      <c r="AB52" s="152"/>
    </row>
    <row r="53" spans="24:28" s="136" customFormat="1" hidden="1" x14ac:dyDescent="0.2">
      <c r="X53" s="152"/>
      <c r="Y53" s="152"/>
      <c r="Z53" s="152"/>
      <c r="AA53" s="152"/>
      <c r="AB53" s="152"/>
    </row>
    <row r="54" spans="24:28" s="136" customFormat="1" hidden="1" x14ac:dyDescent="0.2">
      <c r="X54" s="152"/>
      <c r="Y54" s="152"/>
      <c r="Z54" s="152"/>
      <c r="AA54" s="152"/>
      <c r="AB54" s="152"/>
    </row>
    <row r="55" spans="24:28" s="136" customFormat="1" hidden="1" x14ac:dyDescent="0.2">
      <c r="X55" s="152"/>
      <c r="Y55" s="152"/>
      <c r="Z55" s="152"/>
      <c r="AA55" s="152"/>
      <c r="AB55" s="152"/>
    </row>
    <row r="56" spans="24:28" s="136" customFormat="1" hidden="1" x14ac:dyDescent="0.2">
      <c r="X56" s="152"/>
      <c r="Y56" s="152"/>
      <c r="Z56" s="152"/>
      <c r="AA56" s="152"/>
      <c r="AB56" s="152"/>
    </row>
    <row r="57" spans="24:28" s="136" customFormat="1" hidden="1" x14ac:dyDescent="0.2">
      <c r="X57" s="152"/>
      <c r="Y57" s="152"/>
      <c r="Z57" s="152"/>
      <c r="AA57" s="152"/>
      <c r="AB57" s="152"/>
    </row>
    <row r="58" spans="24:28" s="136" customFormat="1" hidden="1" x14ac:dyDescent="0.2">
      <c r="X58" s="152"/>
      <c r="Y58" s="152"/>
      <c r="Z58" s="152"/>
      <c r="AA58" s="152"/>
      <c r="AB58" s="152"/>
    </row>
    <row r="59" spans="24:28" s="136" customFormat="1" hidden="1" x14ac:dyDescent="0.2">
      <c r="X59" s="152"/>
      <c r="Y59" s="152"/>
      <c r="Z59" s="152"/>
      <c r="AA59" s="152"/>
      <c r="AB59" s="152"/>
    </row>
    <row r="60" spans="24:28" s="136" customFormat="1" hidden="1" x14ac:dyDescent="0.2">
      <c r="X60" s="152"/>
      <c r="Y60" s="152"/>
      <c r="Z60" s="152"/>
      <c r="AA60" s="152"/>
      <c r="AB60" s="152"/>
    </row>
    <row r="61" spans="24:28" s="136" customFormat="1" hidden="1" x14ac:dyDescent="0.2">
      <c r="X61" s="152"/>
      <c r="Y61" s="152"/>
      <c r="Z61" s="152"/>
      <c r="AA61" s="152"/>
      <c r="AB61" s="152"/>
    </row>
    <row r="62" spans="24:28" s="136" customFormat="1" hidden="1" x14ac:dyDescent="0.2">
      <c r="X62" s="152"/>
      <c r="Y62" s="152"/>
      <c r="Z62" s="152"/>
      <c r="AA62" s="152"/>
      <c r="AB62" s="152"/>
    </row>
    <row r="63" spans="24:28" s="136" customFormat="1" hidden="1" x14ac:dyDescent="0.2">
      <c r="X63" s="152"/>
      <c r="Y63" s="152"/>
      <c r="Z63" s="152"/>
      <c r="AA63" s="152"/>
      <c r="AB63" s="152"/>
    </row>
    <row r="64" spans="24:28" s="136" customFormat="1" hidden="1" x14ac:dyDescent="0.2">
      <c r="X64" s="152"/>
      <c r="Y64" s="152"/>
      <c r="Z64" s="152"/>
      <c r="AA64" s="152"/>
      <c r="AB64" s="152"/>
    </row>
    <row r="65" spans="24:28" s="136" customFormat="1" hidden="1" x14ac:dyDescent="0.2">
      <c r="X65" s="152"/>
      <c r="Y65" s="152"/>
      <c r="Z65" s="152"/>
      <c r="AA65" s="152"/>
      <c r="AB65" s="152"/>
    </row>
    <row r="66" spans="24:28" s="136" customFormat="1" hidden="1" x14ac:dyDescent="0.2">
      <c r="X66" s="152"/>
      <c r="Y66" s="152"/>
      <c r="Z66" s="152"/>
      <c r="AA66" s="152"/>
      <c r="AB66" s="152"/>
    </row>
    <row r="67" spans="24:28" s="136" customFormat="1" hidden="1" x14ac:dyDescent="0.2">
      <c r="X67" s="152"/>
      <c r="Y67" s="152"/>
      <c r="Z67" s="152"/>
      <c r="AA67" s="152"/>
      <c r="AB67" s="152"/>
    </row>
    <row r="68" spans="24:28" s="136" customFormat="1" hidden="1" x14ac:dyDescent="0.2">
      <c r="X68" s="152"/>
      <c r="Y68" s="152"/>
      <c r="Z68" s="152"/>
      <c r="AA68" s="152"/>
      <c r="AB68" s="152"/>
    </row>
    <row r="69" spans="24:28" s="136" customFormat="1" hidden="1" x14ac:dyDescent="0.2">
      <c r="X69" s="152"/>
      <c r="Y69" s="152"/>
      <c r="Z69" s="152"/>
      <c r="AA69" s="152"/>
      <c r="AB69" s="152"/>
    </row>
    <row r="70" spans="24:28" s="136" customFormat="1" hidden="1" x14ac:dyDescent="0.2">
      <c r="X70" s="152"/>
      <c r="Y70" s="152"/>
      <c r="Z70" s="152"/>
      <c r="AA70" s="152"/>
      <c r="AB70" s="152"/>
    </row>
    <row r="71" spans="24:28" s="136" customFormat="1" hidden="1" x14ac:dyDescent="0.2">
      <c r="X71" s="152"/>
      <c r="Y71" s="152"/>
      <c r="Z71" s="152"/>
      <c r="AA71" s="152"/>
      <c r="AB71" s="152"/>
    </row>
    <row r="72" spans="24:28" s="136" customFormat="1" hidden="1" x14ac:dyDescent="0.2">
      <c r="X72" s="152"/>
      <c r="Y72" s="152"/>
      <c r="Z72" s="152"/>
      <c r="AA72" s="152"/>
      <c r="AB72" s="152"/>
    </row>
    <row r="73" spans="24:28" s="136" customFormat="1" hidden="1" x14ac:dyDescent="0.2">
      <c r="X73" s="152"/>
      <c r="Y73" s="152"/>
      <c r="Z73" s="152"/>
      <c r="AA73" s="152"/>
      <c r="AB73" s="152"/>
    </row>
    <row r="74" spans="24:28" s="136" customFormat="1" hidden="1" x14ac:dyDescent="0.2">
      <c r="X74" s="152"/>
      <c r="Y74" s="152"/>
      <c r="Z74" s="152"/>
      <c r="AA74" s="152"/>
      <c r="AB74" s="152"/>
    </row>
    <row r="75" spans="24:28" s="136" customFormat="1" hidden="1" x14ac:dyDescent="0.2">
      <c r="X75" s="152"/>
      <c r="Y75" s="152"/>
      <c r="Z75" s="152"/>
      <c r="AA75" s="152"/>
      <c r="AB75" s="152"/>
    </row>
    <row r="76" spans="24:28" s="136" customFormat="1" hidden="1" x14ac:dyDescent="0.2">
      <c r="X76" s="152"/>
      <c r="Y76" s="152"/>
      <c r="Z76" s="152"/>
      <c r="AA76" s="152"/>
      <c r="AB76" s="152"/>
    </row>
    <row r="77" spans="24:28" s="136" customFormat="1" hidden="1" x14ac:dyDescent="0.2">
      <c r="X77" s="152"/>
      <c r="Y77" s="152"/>
      <c r="Z77" s="152"/>
      <c r="AA77" s="152"/>
      <c r="AB77" s="152"/>
    </row>
    <row r="78" spans="24:28" s="136" customFormat="1" hidden="1" x14ac:dyDescent="0.2">
      <c r="X78" s="152"/>
      <c r="Y78" s="152"/>
      <c r="Z78" s="152"/>
      <c r="AA78" s="152"/>
      <c r="AB78" s="152"/>
    </row>
    <row r="79" spans="24:28" s="136" customFormat="1" hidden="1" x14ac:dyDescent="0.2">
      <c r="X79" s="152"/>
      <c r="Y79" s="152"/>
      <c r="Z79" s="152"/>
      <c r="AA79" s="152"/>
      <c r="AB79" s="152"/>
    </row>
    <row r="80" spans="24:28" s="136" customFormat="1" hidden="1" x14ac:dyDescent="0.2">
      <c r="X80" s="152"/>
      <c r="Y80" s="152"/>
      <c r="Z80" s="152"/>
      <c r="AA80" s="152"/>
      <c r="AB80" s="152"/>
    </row>
    <row r="81" spans="1:28" s="136" customFormat="1" hidden="1" x14ac:dyDescent="0.2">
      <c r="X81" s="152"/>
      <c r="Y81" s="152"/>
      <c r="Z81" s="152"/>
      <c r="AA81" s="152"/>
      <c r="AB81" s="152"/>
    </row>
    <row r="82" spans="1:28" s="136" customFormat="1" hidden="1" x14ac:dyDescent="0.2">
      <c r="X82" s="152"/>
      <c r="Y82" s="152"/>
      <c r="Z82" s="152"/>
      <c r="AA82" s="152"/>
      <c r="AB82" s="152"/>
    </row>
    <row r="83" spans="1:28" s="136" customFormat="1" hidden="1" x14ac:dyDescent="0.2">
      <c r="X83" s="152"/>
      <c r="Y83" s="152"/>
      <c r="Z83" s="152"/>
      <c r="AA83" s="152"/>
      <c r="AB83" s="152"/>
    </row>
    <row r="84" spans="1:28" s="136" customFormat="1" hidden="1" x14ac:dyDescent="0.2">
      <c r="X84" s="152"/>
      <c r="Y84" s="152"/>
      <c r="Z84" s="152"/>
      <c r="AA84" s="152"/>
      <c r="AB84" s="152"/>
    </row>
    <row r="85" spans="1:28" s="136" customFormat="1" hidden="1" x14ac:dyDescent="0.2">
      <c r="X85" s="152"/>
      <c r="Y85" s="152"/>
      <c r="Z85" s="152"/>
      <c r="AA85" s="152"/>
      <c r="AB85" s="152"/>
    </row>
    <row r="86" spans="1:28" s="136" customFormat="1" hidden="1" x14ac:dyDescent="0.2">
      <c r="X86" s="152"/>
      <c r="Y86" s="152"/>
      <c r="Z86" s="152"/>
      <c r="AA86" s="152"/>
      <c r="AB86" s="152"/>
    </row>
    <row r="87" spans="1:28" s="136" customFormat="1" hidden="1" x14ac:dyDescent="0.2">
      <c r="X87" s="152"/>
      <c r="Y87" s="152"/>
      <c r="Z87" s="152"/>
      <c r="AA87" s="152"/>
      <c r="AB87" s="152"/>
    </row>
    <row r="88" spans="1:28" s="136" customFormat="1" hidden="1" x14ac:dyDescent="0.2">
      <c r="D88" s="133"/>
      <c r="E88" s="133"/>
      <c r="F88" s="133"/>
      <c r="G88" s="133"/>
      <c r="H88" s="133"/>
      <c r="X88" s="152"/>
      <c r="Y88" s="152"/>
      <c r="Z88" s="152"/>
      <c r="AA88" s="152"/>
      <c r="AB88" s="152"/>
    </row>
    <row r="89" spans="1:28" s="136" customFormat="1" hidden="1" x14ac:dyDescent="0.2">
      <c r="A89" s="133"/>
      <c r="B89" s="133"/>
      <c r="C89" s="133"/>
      <c r="D89" s="133"/>
      <c r="E89" s="133"/>
      <c r="F89" s="133"/>
      <c r="G89" s="133"/>
      <c r="H89" s="133"/>
      <c r="X89" s="152"/>
      <c r="Y89" s="152"/>
      <c r="Z89" s="152"/>
      <c r="AA89" s="152"/>
      <c r="AB89" s="152"/>
    </row>
  </sheetData>
  <sheetProtection algorithmName="SHA-512" hashValue="mf5pbppCyU7Q8XRaVacmSqrY3f1kTTAW53JvZDlPMu5KKj0SX7prV75jBcC44ZHPzF9EWBv1EIEAlKIpbWF58A==" saltValue="ckiJp1SrFV0Am6t8/W936w==" spinCount="100000" sheet="1" objects="1" scenarios="1"/>
  <mergeCells count="4">
    <mergeCell ref="A2:B2"/>
    <mergeCell ref="N14:O15"/>
    <mergeCell ref="E15:G17"/>
    <mergeCell ref="I22:O24"/>
  </mergeCells>
  <conditionalFormatting sqref="A22:A25">
    <cfRule type="expression" dxfId="7" priority="5" stopIfTrue="1">
      <formula>$B$20="N/A"</formula>
    </cfRule>
  </conditionalFormatting>
  <conditionalFormatting sqref="L6:L12">
    <cfRule type="expression" dxfId="3" priority="9" stopIfTrue="1">
      <formula>$B$20="N/A"</formula>
    </cfRule>
  </conditionalFormatting>
  <conditionalFormatting sqref="L19">
    <cfRule type="expression" dxfId="2" priority="8" stopIfTrue="1">
      <formula>$B$20="N/A"</formula>
    </cfRule>
  </conditionalFormatting>
  <conditionalFormatting sqref="M7 M9:M10 A13:A17 L15 B16:D16 L17 A19:A20 A21:B21 B23 A27:A29 B29">
    <cfRule type="expression" dxfId="1" priority="6" stopIfTrue="1">
      <formula>$B$20="N/A"</formula>
    </cfRule>
  </conditionalFormatting>
  <pageMargins left="0.7" right="0.7" top="0.75" bottom="0.75" header="0.3" footer="0.3"/>
  <pageSetup orientation="portrait" horizontalDpi="200" verticalDpi="200" r:id="rId1"/>
  <ignoredErrors>
    <ignoredError sqref="B25" evalError="1"/>
  </ignoredErrors>
  <drawing r:id="rId2"/>
  <extLst>
    <ext xmlns:x14="http://schemas.microsoft.com/office/spreadsheetml/2009/9/main" uri="{78C0D931-6437-407d-A8EE-F0AAD7539E65}">
      <x14:conditionalFormattings>
        <x14:conditionalFormatting xmlns:xm="http://schemas.microsoft.com/office/excel/2006/main">
          <x14:cfRule type="expression" priority="3" id="{D7DE8779-40B2-491A-83AD-FA39268D39A9}">
            <xm:f>Input!$C$19="No"</xm:f>
            <x14:dxf>
              <font>
                <color theme="0"/>
              </font>
              <fill>
                <patternFill patternType="none">
                  <bgColor auto="1"/>
                </patternFill>
              </fill>
              <border>
                <left/>
                <right/>
                <top/>
                <bottom/>
                <vertical/>
                <horizontal/>
              </border>
            </x14:dxf>
          </x14:cfRule>
          <xm:sqref>A9:A10</xm:sqref>
        </x14:conditionalFormatting>
        <x14:conditionalFormatting xmlns:xm="http://schemas.microsoft.com/office/excel/2006/main">
          <x14:cfRule type="expression" priority="2" id="{15182CE9-BE2C-44FA-8C55-6CD7EF4FA30E}">
            <xm:f>Input!$C$19="No"</xm:f>
            <x14:dxf>
              <font>
                <color theme="0"/>
              </font>
              <fill>
                <patternFill patternType="none">
                  <bgColor auto="1"/>
                </patternFill>
              </fill>
              <border>
                <left/>
                <right/>
                <top/>
                <bottom/>
                <vertical/>
                <horizontal/>
              </border>
            </x14:dxf>
          </x14:cfRule>
          <xm:sqref>B9</xm:sqref>
        </x14:conditionalFormatting>
        <x14:conditionalFormatting xmlns:xm="http://schemas.microsoft.com/office/excel/2006/main">
          <x14:cfRule type="cellIs" priority="4" operator="between" id="{187FA7CF-A0FA-4C5A-ADE8-4E0EA23EAD23}">
            <xm:f>0</xm:f>
            <xm:f>Extension!$I$43</xm:f>
            <x14:dxf>
              <fill>
                <patternFill>
                  <bgColor rgb="FFCCFFCC"/>
                </patternFill>
              </fill>
            </x14:dxf>
          </x14:cfRule>
          <xm:sqref>B19</xm:sqref>
        </x14:conditionalFormatting>
        <x14:conditionalFormatting xmlns:xm="http://schemas.microsoft.com/office/excel/2006/main">
          <x14:cfRule type="expression" priority="1" id="{938D9FF9-7C1B-4444-948D-758CE4F4339F}">
            <xm:f>Input!$C$19="No"</xm:f>
            <x14:dxf>
              <font>
                <color theme="0"/>
              </font>
            </x14:dxf>
          </x14:cfRule>
          <xm:sqref>C11</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2ACF7-33E4-45D2-9CBF-DC76D879FE91}">
  <sheetPr>
    <tabColor theme="7" tint="0.59999389629810485"/>
    <pageSetUpPr fitToPage="1"/>
  </sheetPr>
  <dimension ref="A1:U88"/>
  <sheetViews>
    <sheetView showGridLines="0" zoomScale="115" zoomScaleNormal="115" workbookViewId="0">
      <selection activeCell="R20" sqref="R20"/>
    </sheetView>
  </sheetViews>
  <sheetFormatPr defaultColWidth="0" defaultRowHeight="15.75" zeroHeight="1" x14ac:dyDescent="0.25"/>
  <cols>
    <col min="1" max="1" width="4.7109375" style="206" customWidth="1"/>
    <col min="2" max="2" width="1.28515625" style="206" customWidth="1"/>
    <col min="3" max="3" width="6.7109375" style="206" customWidth="1"/>
    <col min="4" max="4" width="11.5703125" style="206" customWidth="1"/>
    <col min="5" max="6" width="7.7109375" style="206" customWidth="1"/>
    <col min="7" max="7" width="6" style="206" customWidth="1"/>
    <col min="8" max="8" width="12" style="206" customWidth="1"/>
    <col min="9" max="9" width="16.28515625" style="206" customWidth="1"/>
    <col min="10" max="11" width="2.7109375" style="206" customWidth="1"/>
    <col min="12" max="12" width="7.7109375" style="206" customWidth="1"/>
    <col min="13" max="13" width="6" style="206" customWidth="1"/>
    <col min="14" max="14" width="4.42578125" style="206" customWidth="1"/>
    <col min="15" max="15" width="5.7109375" style="206" customWidth="1"/>
    <col min="16" max="16" width="1.28515625" style="206" customWidth="1"/>
    <col min="17" max="17" width="3.42578125" style="207" customWidth="1"/>
    <col min="18" max="18" width="28.28515625" style="207" bestFit="1" customWidth="1"/>
    <col min="19" max="19" width="36.85546875" style="207" customWidth="1"/>
    <col min="20" max="20" width="9.28515625" style="206" customWidth="1"/>
    <col min="21" max="21" width="9.28515625" style="206" hidden="1" customWidth="1"/>
    <col min="22" max="16384" width="0" style="206" hidden="1"/>
  </cols>
  <sheetData>
    <row r="1" spans="1:21" ht="12.4" customHeight="1" x14ac:dyDescent="0.25">
      <c r="U1" s="208"/>
    </row>
    <row r="2" spans="1:21" ht="6" customHeight="1" x14ac:dyDescent="0.25">
      <c r="B2" s="209"/>
      <c r="C2" s="209"/>
      <c r="D2" s="209"/>
      <c r="E2" s="209"/>
      <c r="F2" s="209"/>
      <c r="G2" s="209"/>
      <c r="H2" s="209"/>
      <c r="I2" s="209"/>
      <c r="J2" s="209"/>
      <c r="K2" s="209"/>
      <c r="L2" s="209"/>
      <c r="M2" s="209"/>
      <c r="N2" s="209"/>
      <c r="O2" s="209"/>
      <c r="P2" s="209"/>
      <c r="U2" s="208"/>
    </row>
    <row r="3" spans="1:21" ht="12.4" customHeight="1" x14ac:dyDescent="0.25">
      <c r="B3" s="209"/>
      <c r="P3" s="209"/>
      <c r="U3" s="208"/>
    </row>
    <row r="4" spans="1:21" ht="12.4" customHeight="1" x14ac:dyDescent="0.25">
      <c r="B4" s="209"/>
      <c r="C4" s="210"/>
      <c r="D4" s="304" t="s">
        <v>165</v>
      </c>
      <c r="E4" s="304"/>
      <c r="F4" s="304"/>
      <c r="G4" s="304"/>
      <c r="H4" s="304"/>
      <c r="I4" s="304"/>
      <c r="J4" s="304"/>
      <c r="K4" s="304"/>
      <c r="L4" s="304"/>
      <c r="M4" s="304"/>
      <c r="N4" s="210"/>
      <c r="P4" s="209"/>
    </row>
    <row r="5" spans="1:21" ht="12.4" customHeight="1" x14ac:dyDescent="0.25">
      <c r="A5" s="211"/>
      <c r="B5" s="209"/>
      <c r="C5" s="211"/>
      <c r="D5" s="304">
        <f>+S7</f>
        <v>0</v>
      </c>
      <c r="E5" s="304"/>
      <c r="F5" s="304"/>
      <c r="G5" s="304"/>
      <c r="H5" s="304"/>
      <c r="I5" s="304"/>
      <c r="J5" s="304"/>
      <c r="K5" s="304"/>
      <c r="L5" s="304"/>
      <c r="M5" s="304"/>
      <c r="N5" s="211"/>
      <c r="P5" s="209"/>
    </row>
    <row r="6" spans="1:21" x14ac:dyDescent="0.25">
      <c r="A6" s="212"/>
      <c r="B6" s="213"/>
      <c r="C6" s="212"/>
      <c r="D6" s="212"/>
      <c r="E6" s="212"/>
      <c r="F6" s="212"/>
      <c r="G6" s="212"/>
      <c r="H6" s="212"/>
      <c r="I6" s="212"/>
      <c r="J6" s="212"/>
      <c r="K6" s="212"/>
      <c r="L6" s="212"/>
      <c r="M6" s="212"/>
      <c r="N6" s="212"/>
      <c r="P6" s="209"/>
      <c r="R6" s="214" t="s">
        <v>166</v>
      </c>
      <c r="S6" s="206"/>
    </row>
    <row r="7" spans="1:21" x14ac:dyDescent="0.25">
      <c r="B7" s="215"/>
      <c r="C7" s="216" t="s">
        <v>167</v>
      </c>
      <c r="D7" s="217" t="str">
        <f>"A public hearing to approve a proposed property tax levy increase for "&amp;S7&amp;" "</f>
        <v xml:space="preserve">A public hearing to approve a proposed property tax levy increase for  </v>
      </c>
      <c r="E7" s="156"/>
      <c r="F7" s="156"/>
      <c r="G7" s="156"/>
      <c r="H7" s="156"/>
      <c r="I7" s="156"/>
      <c r="J7" s="156"/>
      <c r="K7" s="156"/>
      <c r="L7" s="156"/>
      <c r="M7" s="156"/>
      <c r="N7" s="156"/>
      <c r="O7" s="156"/>
      <c r="P7" s="209"/>
      <c r="R7" s="218" t="s">
        <v>168</v>
      </c>
      <c r="S7" s="219"/>
    </row>
    <row r="8" spans="1:21" x14ac:dyDescent="0.25">
      <c r="B8" s="215"/>
      <c r="C8" s="220"/>
      <c r="D8" s="156" t="str">
        <f>IF(Input!$C$14=0,Input!$C$13&amp;" County",IF(Input!$C$15=0,Input!$C$13&amp;" and "&amp;Input!$C$14&amp;" Counties",IF(Input!$C$16=0,Input!$C$13&amp;", "&amp;Input!$C$14&amp;" and "&amp;Input!$C$15&amp;" Counties",Input!$C$13&amp;", "&amp;Input!$C$14&amp;", "&amp;Input!$C$15&amp;" and "&amp;Input!$C$16&amp;" Counties")))&amp;", Illinois for "&amp;Input!C9&amp;" """</f>
        <v xml:space="preserve"> County, Illinois for 2024 "</v>
      </c>
      <c r="E8" s="156"/>
      <c r="F8" s="156"/>
      <c r="G8" s="156"/>
      <c r="H8" s="156"/>
      <c r="I8" s="156"/>
      <c r="J8" s="156"/>
      <c r="K8" s="156"/>
      <c r="L8" s="156"/>
      <c r="M8" s="156"/>
      <c r="N8" s="156"/>
      <c r="O8" s="156"/>
      <c r="P8" s="209"/>
      <c r="R8" s="218" t="s">
        <v>169</v>
      </c>
      <c r="S8" s="237"/>
      <c r="T8" s="221" t="str">
        <f>TEXT(S8,"mmmm dd, yyyy")</f>
        <v>January 00, 1900</v>
      </c>
    </row>
    <row r="9" spans="1:21" x14ac:dyDescent="0.25">
      <c r="A9" s="222"/>
      <c r="B9" s="215"/>
      <c r="C9" s="220"/>
      <c r="D9" s="223" t="str">
        <f>"will be held on "&amp;T8&amp;" at "&amp;$S$10&amp;", "&amp;$S$11&amp;", IL "&amp;S12&amp;" at "&amp;$S$9&amp;"."</f>
        <v>will be held on January 00, 1900 at , , IL  at .</v>
      </c>
      <c r="E9" s="156"/>
      <c r="F9" s="156"/>
      <c r="G9" s="156"/>
      <c r="H9" s="156"/>
      <c r="I9" s="156"/>
      <c r="J9" s="156"/>
      <c r="K9" s="156"/>
      <c r="L9" s="156"/>
      <c r="M9" s="156"/>
      <c r="N9" s="156"/>
      <c r="O9" s="156"/>
      <c r="P9" s="209"/>
      <c r="R9" s="218" t="s">
        <v>170</v>
      </c>
      <c r="S9" s="219"/>
    </row>
    <row r="10" spans="1:21" x14ac:dyDescent="0.25">
      <c r="A10" s="222"/>
      <c r="B10" s="215"/>
      <c r="C10" s="220"/>
      <c r="D10" s="156"/>
      <c r="E10" s="156"/>
      <c r="F10" s="156"/>
      <c r="G10" s="156"/>
      <c r="H10" s="156"/>
      <c r="I10" s="156"/>
      <c r="J10" s="156"/>
      <c r="K10" s="156"/>
      <c r="L10" s="156"/>
      <c r="M10" s="156"/>
      <c r="N10" s="156"/>
      <c r="O10" s="156"/>
      <c r="P10" s="209"/>
      <c r="R10" s="218" t="s">
        <v>171</v>
      </c>
      <c r="S10" s="219"/>
    </row>
    <row r="11" spans="1:21" x14ac:dyDescent="0.25">
      <c r="A11" s="222"/>
      <c r="B11" s="224"/>
      <c r="C11" s="220"/>
      <c r="D11" s="156"/>
      <c r="E11" s="156"/>
      <c r="F11" s="156"/>
      <c r="G11" s="156"/>
      <c r="H11" s="156"/>
      <c r="I11" s="156"/>
      <c r="J11" s="156"/>
      <c r="K11" s="156"/>
      <c r="L11" s="156"/>
      <c r="M11" s="156"/>
      <c r="N11" s="156"/>
      <c r="O11" s="156"/>
      <c r="P11" s="209"/>
      <c r="R11" s="218" t="s">
        <v>172</v>
      </c>
      <c r="S11" s="219"/>
    </row>
    <row r="12" spans="1:21" x14ac:dyDescent="0.25">
      <c r="B12" s="215"/>
      <c r="C12" s="220"/>
      <c r="D12" s="156" t="s">
        <v>173</v>
      </c>
      <c r="E12" s="156"/>
      <c r="F12" s="156"/>
      <c r="G12" s="156"/>
      <c r="H12" s="156"/>
      <c r="I12" s="156"/>
      <c r="J12" s="156"/>
      <c r="K12" s="156"/>
      <c r="L12" s="156"/>
      <c r="M12" s="156"/>
      <c r="N12" s="156"/>
      <c r="O12" s="156"/>
      <c r="P12" s="209"/>
      <c r="R12" s="218" t="s">
        <v>174</v>
      </c>
      <c r="S12" s="219"/>
      <c r="U12" s="208"/>
    </row>
    <row r="13" spans="1:21" x14ac:dyDescent="0.25">
      <c r="B13" s="215"/>
      <c r="C13" s="220"/>
      <c r="D13" s="156" t="str">
        <f>"district may contact "&amp;S14&amp;" at "&amp;S15&amp;"."</f>
        <v>district may contact  at .</v>
      </c>
      <c r="E13" s="156"/>
      <c r="F13" s="156"/>
      <c r="G13" s="156"/>
      <c r="H13" s="156"/>
      <c r="I13" s="156"/>
      <c r="J13" s="156"/>
      <c r="K13" s="156"/>
      <c r="L13" s="156"/>
      <c r="M13" s="156"/>
      <c r="N13" s="156"/>
      <c r="O13" s="156"/>
      <c r="P13" s="209"/>
      <c r="R13" s="218"/>
      <c r="S13" s="225"/>
      <c r="U13" s="208"/>
    </row>
    <row r="14" spans="1:21" x14ac:dyDescent="0.25">
      <c r="B14" s="215"/>
      <c r="C14" s="220"/>
      <c r="D14" s="156"/>
      <c r="E14" s="156"/>
      <c r="F14" s="156"/>
      <c r="G14" s="156"/>
      <c r="H14" s="156"/>
      <c r="I14" s="156"/>
      <c r="J14" s="156"/>
      <c r="K14" s="156"/>
      <c r="L14" s="156"/>
      <c r="M14" s="156"/>
      <c r="N14" s="156"/>
      <c r="O14" s="156"/>
      <c r="P14" s="209"/>
      <c r="R14" s="218" t="s">
        <v>175</v>
      </c>
      <c r="S14" s="219"/>
      <c r="U14" s="208"/>
    </row>
    <row r="15" spans="1:21" x14ac:dyDescent="0.25">
      <c r="B15" s="215"/>
      <c r="C15" s="220"/>
      <c r="D15" s="156"/>
      <c r="E15" s="156"/>
      <c r="F15" s="156"/>
      <c r="G15" s="156"/>
      <c r="H15" s="156"/>
      <c r="I15" s="156"/>
      <c r="J15" s="156"/>
      <c r="K15" s="156"/>
      <c r="L15" s="156"/>
      <c r="M15" s="156"/>
      <c r="N15" s="156"/>
      <c r="O15" s="156"/>
      <c r="P15" s="209"/>
      <c r="R15" s="218" t="s">
        <v>176</v>
      </c>
      <c r="S15" s="219"/>
      <c r="U15" s="208"/>
    </row>
    <row r="16" spans="1:21" x14ac:dyDescent="0.25">
      <c r="B16" s="215"/>
      <c r="C16" s="220"/>
      <c r="D16" s="156"/>
      <c r="E16" s="156"/>
      <c r="F16" s="156"/>
      <c r="G16" s="156"/>
      <c r="H16" s="156"/>
      <c r="I16" s="156"/>
      <c r="J16" s="156"/>
      <c r="K16" s="156"/>
      <c r="L16" s="156"/>
      <c r="M16" s="156"/>
      <c r="N16" s="156"/>
      <c r="O16" s="156"/>
      <c r="P16" s="209"/>
      <c r="R16" s="238" t="s">
        <v>181</v>
      </c>
      <c r="U16" s="208"/>
    </row>
    <row r="17" spans="2:21" x14ac:dyDescent="0.25">
      <c r="B17" s="215"/>
      <c r="C17" s="216" t="s">
        <v>177</v>
      </c>
      <c r="D17" s="156" t="str">
        <f>"The corporate and special purpose property taxes extended or abated for "&amp;Input!C9-"1 "&amp;" were"</f>
        <v>The corporate and special purpose property taxes extended or abated for 2023 were</v>
      </c>
      <c r="E17" s="156"/>
      <c r="F17" s="156"/>
      <c r="G17" s="156"/>
      <c r="H17" s="156"/>
      <c r="I17" s="156"/>
      <c r="J17" s="156"/>
      <c r="K17" s="156"/>
      <c r="L17" s="156"/>
      <c r="M17" s="156"/>
      <c r="N17" s="156"/>
      <c r="O17" s="156"/>
      <c r="P17" s="209"/>
      <c r="U17" s="208"/>
    </row>
    <row r="18" spans="2:21" x14ac:dyDescent="0.25">
      <c r="B18" s="215"/>
      <c r="C18" s="220"/>
      <c r="D18" s="226">
        <f>Input!$D$68+Input!$D$70</f>
        <v>0</v>
      </c>
      <c r="E18" s="156"/>
      <c r="F18" s="156"/>
      <c r="G18" s="156"/>
      <c r="H18" s="156"/>
      <c r="I18" s="156"/>
      <c r="J18" s="156"/>
      <c r="K18" s="156"/>
      <c r="L18" s="156"/>
      <c r="M18" s="156"/>
      <c r="N18" s="156"/>
      <c r="O18" s="156"/>
      <c r="P18" s="209"/>
      <c r="U18" s="208"/>
    </row>
    <row r="19" spans="2:21" x14ac:dyDescent="0.25">
      <c r="B19" s="215"/>
      <c r="C19" s="220"/>
      <c r="D19" s="226"/>
      <c r="E19" s="156"/>
      <c r="F19" s="156"/>
      <c r="G19" s="156"/>
      <c r="H19" s="156"/>
      <c r="I19" s="156"/>
      <c r="J19" s="156"/>
      <c r="K19" s="156"/>
      <c r="L19" s="156"/>
      <c r="M19" s="156"/>
      <c r="N19" s="156"/>
      <c r="O19" s="156"/>
      <c r="P19" s="209"/>
      <c r="U19" s="208"/>
    </row>
    <row r="20" spans="2:21" x14ac:dyDescent="0.25">
      <c r="B20" s="215"/>
      <c r="C20" s="220"/>
      <c r="D20" s="156"/>
      <c r="E20" s="156"/>
      <c r="F20" s="156"/>
      <c r="G20" s="156"/>
      <c r="H20" s="156"/>
      <c r="I20" s="156"/>
      <c r="J20" s="156"/>
      <c r="K20" s="156"/>
      <c r="L20" s="156"/>
      <c r="M20" s="156"/>
      <c r="N20" s="156"/>
      <c r="O20" s="156"/>
      <c r="P20" s="209"/>
      <c r="U20" s="208"/>
    </row>
    <row r="21" spans="2:21" x14ac:dyDescent="0.25">
      <c r="B21" s="209"/>
      <c r="C21" s="220"/>
      <c r="D21" s="156" t="str">
        <f>"The proposed corporate and special purposed property taxes to be levied for "&amp;Input!C9 &amp;" are"</f>
        <v>The proposed corporate and special purposed property taxes to be levied for 2024 are</v>
      </c>
      <c r="E21" s="156"/>
      <c r="F21" s="156"/>
      <c r="G21" s="156"/>
      <c r="H21" s="156"/>
      <c r="I21" s="156"/>
      <c r="J21" s="156"/>
      <c r="K21" s="156"/>
      <c r="L21" s="156"/>
      <c r="M21" s="156"/>
      <c r="N21" s="156"/>
      <c r="O21" s="156"/>
      <c r="P21" s="209"/>
      <c r="U21" s="208"/>
    </row>
    <row r="22" spans="2:21" x14ac:dyDescent="0.25">
      <c r="B22" s="209"/>
      <c r="C22" s="220"/>
      <c r="D22" s="226" t="e">
        <f>Calculations!$J$33+Calculations!$J$37</f>
        <v>#DIV/0!</v>
      </c>
      <c r="E22" s="305" t="e">
        <f>(D22-D18)/D18</f>
        <v>#DIV/0!</v>
      </c>
      <c r="F22" s="305"/>
      <c r="G22" s="305"/>
      <c r="H22" s="305"/>
      <c r="I22" s="305"/>
      <c r="J22" s="305"/>
      <c r="K22" s="305"/>
      <c r="L22" s="305"/>
      <c r="M22" s="156"/>
      <c r="N22" s="156"/>
      <c r="O22" s="156"/>
      <c r="P22" s="209"/>
      <c r="U22" s="208"/>
    </row>
    <row r="23" spans="2:21" x14ac:dyDescent="0.25">
      <c r="B23" s="209"/>
      <c r="C23" s="220"/>
      <c r="D23" s="226"/>
      <c r="E23" s="227"/>
      <c r="F23" s="227"/>
      <c r="G23" s="227"/>
      <c r="H23" s="227"/>
      <c r="I23" s="227"/>
      <c r="J23" s="227"/>
      <c r="K23" s="227"/>
      <c r="L23" s="227"/>
      <c r="M23" s="156"/>
      <c r="N23" s="156"/>
      <c r="O23" s="156"/>
      <c r="P23" s="209"/>
      <c r="U23" s="208"/>
    </row>
    <row r="24" spans="2:21" x14ac:dyDescent="0.25">
      <c r="B24" s="209"/>
      <c r="C24" s="220"/>
      <c r="D24" s="156"/>
      <c r="E24" s="156"/>
      <c r="F24" s="156"/>
      <c r="G24" s="156"/>
      <c r="H24" s="156"/>
      <c r="I24" s="156"/>
      <c r="J24" s="156"/>
      <c r="K24" s="156"/>
      <c r="L24" s="156"/>
      <c r="M24" s="156"/>
      <c r="N24" s="156"/>
      <c r="O24" s="156"/>
      <c r="P24" s="209"/>
      <c r="U24" s="208"/>
    </row>
    <row r="25" spans="2:21" x14ac:dyDescent="0.25">
      <c r="B25" s="209"/>
      <c r="C25" s="216" t="s">
        <v>178</v>
      </c>
      <c r="D25" s="156" t="str">
        <f>"The property taxes extended for debt services and public building commission leases for "&amp;Input!C9-"1 "&amp;" were"</f>
        <v>The property taxes extended for debt services and public building commission leases for 2023 were</v>
      </c>
      <c r="E25" s="156"/>
      <c r="F25" s="156"/>
      <c r="G25" s="156"/>
      <c r="H25" s="156"/>
      <c r="I25" s="156"/>
      <c r="J25" s="156"/>
      <c r="K25" s="156"/>
      <c r="L25" s="156"/>
      <c r="M25" s="156"/>
      <c r="N25" s="156"/>
      <c r="O25" s="156"/>
      <c r="P25" s="209"/>
      <c r="U25" s="208"/>
    </row>
    <row r="26" spans="2:21" x14ac:dyDescent="0.25">
      <c r="B26" s="209"/>
      <c r="C26" s="220"/>
      <c r="D26" s="226">
        <f>Input!$D$74</f>
        <v>0</v>
      </c>
      <c r="E26" s="156"/>
      <c r="F26" s="156"/>
      <c r="G26" s="156"/>
      <c r="H26" s="156"/>
      <c r="I26" s="156"/>
      <c r="J26" s="156"/>
      <c r="K26" s="156"/>
      <c r="L26" s="156"/>
      <c r="M26" s="156"/>
      <c r="N26" s="156"/>
      <c r="O26" s="156"/>
      <c r="P26" s="209"/>
      <c r="U26" s="208"/>
    </row>
    <row r="27" spans="2:21" x14ac:dyDescent="0.25">
      <c r="B27" s="209"/>
      <c r="C27" s="220"/>
      <c r="D27" s="226"/>
      <c r="E27" s="156"/>
      <c r="F27" s="156"/>
      <c r="G27" s="156"/>
      <c r="H27" s="156"/>
      <c r="I27" s="156"/>
      <c r="J27" s="156"/>
      <c r="K27" s="156"/>
      <c r="L27" s="156"/>
      <c r="M27" s="156"/>
      <c r="N27" s="156"/>
      <c r="O27" s="156"/>
      <c r="P27" s="209"/>
      <c r="U27" s="208"/>
    </row>
    <row r="28" spans="2:21" x14ac:dyDescent="0.25">
      <c r="B28" s="209"/>
      <c r="C28" s="220"/>
      <c r="D28" s="156"/>
      <c r="E28" s="156"/>
      <c r="F28" s="156"/>
      <c r="G28" s="156"/>
      <c r="H28" s="156"/>
      <c r="I28" s="156"/>
      <c r="J28" s="156"/>
      <c r="K28" s="156"/>
      <c r="L28" s="156"/>
      <c r="M28" s="156"/>
      <c r="N28" s="156"/>
      <c r="O28" s="156"/>
      <c r="P28" s="209"/>
      <c r="U28" s="208"/>
    </row>
    <row r="29" spans="2:21" x14ac:dyDescent="0.25">
      <c r="B29" s="209"/>
      <c r="C29" s="220"/>
      <c r="D29" s="156" t="str">
        <f>"The estimated property taxes to be levied for debt service and public building commission leases for "&amp;Input!C9 &amp;" are"</f>
        <v>The estimated property taxes to be levied for debt service and public building commission leases for 2024 are</v>
      </c>
      <c r="E29" s="156"/>
      <c r="F29" s="156"/>
      <c r="G29" s="156"/>
      <c r="H29" s="156"/>
      <c r="I29" s="156"/>
      <c r="J29" s="156"/>
      <c r="K29" s="156"/>
      <c r="L29" s="156"/>
      <c r="M29" s="156"/>
      <c r="N29" s="156"/>
      <c r="O29" s="156"/>
      <c r="P29" s="209"/>
      <c r="U29" s="208"/>
    </row>
    <row r="30" spans="2:21" x14ac:dyDescent="0.25">
      <c r="B30" s="209"/>
      <c r="C30" s="220"/>
      <c r="D30" s="226">
        <f>Calculations!$J$42</f>
        <v>0</v>
      </c>
      <c r="E30" s="156"/>
      <c r="F30" s="156"/>
      <c r="G30" s="156"/>
      <c r="H30" s="156"/>
      <c r="I30" s="156"/>
      <c r="J30" s="156"/>
      <c r="K30" s="156"/>
      <c r="L30" s="156"/>
      <c r="M30" s="156"/>
      <c r="N30" s="156"/>
      <c r="O30" s="156"/>
      <c r="P30" s="209"/>
      <c r="U30" s="208"/>
    </row>
    <row r="31" spans="2:21" x14ac:dyDescent="0.25">
      <c r="B31" s="209"/>
      <c r="C31" s="220"/>
      <c r="D31" s="226"/>
      <c r="E31" s="156"/>
      <c r="F31" s="156"/>
      <c r="G31" s="156"/>
      <c r="H31" s="156"/>
      <c r="I31" s="156"/>
      <c r="J31" s="156"/>
      <c r="K31" s="156"/>
      <c r="L31" s="156"/>
      <c r="M31" s="156"/>
      <c r="N31" s="156"/>
      <c r="O31" s="156"/>
      <c r="P31" s="209"/>
      <c r="U31" s="208"/>
    </row>
    <row r="32" spans="2:21" x14ac:dyDescent="0.25">
      <c r="B32" s="209"/>
      <c r="C32" s="220"/>
      <c r="D32" s="156"/>
      <c r="E32" s="156"/>
      <c r="F32" s="156"/>
      <c r="G32" s="156"/>
      <c r="H32" s="156"/>
      <c r="I32" s="156"/>
      <c r="J32" s="156"/>
      <c r="K32" s="156"/>
      <c r="L32" s="156"/>
      <c r="M32" s="156"/>
      <c r="N32" s="156"/>
      <c r="O32" s="156"/>
      <c r="P32" s="209"/>
      <c r="U32" s="208"/>
    </row>
    <row r="33" spans="2:21" x14ac:dyDescent="0.25">
      <c r="B33" s="209"/>
      <c r="C33" s="216" t="s">
        <v>179</v>
      </c>
      <c r="D33" s="156" t="str">
        <f>"The total property taxes extended or abated for "&amp;Input!C9-"1 "&amp;" were"</f>
        <v>The total property taxes extended or abated for 2023 were</v>
      </c>
      <c r="E33" s="156"/>
      <c r="F33" s="156"/>
      <c r="G33" s="156"/>
      <c r="H33" s="156"/>
      <c r="I33" s="156"/>
      <c r="J33" s="156"/>
      <c r="K33" s="156"/>
      <c r="L33" s="156"/>
      <c r="M33" s="156"/>
      <c r="N33" s="156"/>
      <c r="O33" s="156"/>
      <c r="P33" s="209"/>
      <c r="U33" s="208"/>
    </row>
    <row r="34" spans="2:21" x14ac:dyDescent="0.25">
      <c r="B34" s="209"/>
      <c r="C34" s="156"/>
      <c r="D34" s="226">
        <f>D18+D26</f>
        <v>0</v>
      </c>
      <c r="E34" s="156"/>
      <c r="F34" s="156"/>
      <c r="G34" s="156"/>
      <c r="H34" s="156"/>
      <c r="I34" s="156"/>
      <c r="J34" s="156"/>
      <c r="K34" s="156"/>
      <c r="L34" s="156"/>
      <c r="M34" s="156"/>
      <c r="N34" s="156"/>
      <c r="O34" s="156"/>
      <c r="P34" s="209"/>
      <c r="U34" s="208"/>
    </row>
    <row r="35" spans="2:21" x14ac:dyDescent="0.25">
      <c r="B35" s="209"/>
      <c r="C35" s="156"/>
      <c r="D35" s="156"/>
      <c r="E35" s="156"/>
      <c r="F35" s="156"/>
      <c r="G35" s="156"/>
      <c r="H35" s="156"/>
      <c r="I35" s="156"/>
      <c r="J35" s="156"/>
      <c r="K35" s="156"/>
      <c r="L35" s="156"/>
      <c r="M35" s="156"/>
      <c r="N35" s="156"/>
      <c r="O35" s="156"/>
      <c r="P35" s="209"/>
      <c r="U35" s="208"/>
    </row>
    <row r="36" spans="2:21" x14ac:dyDescent="0.25">
      <c r="B36" s="209"/>
      <c r="C36" s="156"/>
      <c r="D36" s="156" t="str">
        <f>"The estimated total property taxes to be levied for "&amp;Input!C9 &amp;" are"</f>
        <v>The estimated total property taxes to be levied for 2024 are</v>
      </c>
      <c r="E36" s="156"/>
      <c r="F36" s="156"/>
      <c r="G36" s="156"/>
      <c r="H36" s="156"/>
      <c r="I36" s="156"/>
      <c r="J36" s="156"/>
      <c r="K36" s="156"/>
      <c r="L36" s="156"/>
      <c r="M36" s="156"/>
      <c r="N36" s="156"/>
      <c r="O36" s="156"/>
      <c r="P36" s="209"/>
      <c r="U36" s="208"/>
    </row>
    <row r="37" spans="2:21" x14ac:dyDescent="0.25">
      <c r="B37" s="209"/>
      <c r="C37" s="156"/>
      <c r="D37" s="226" t="e">
        <f>D30+D22</f>
        <v>#DIV/0!</v>
      </c>
      <c r="E37" s="305" t="e">
        <f>(D37-D34)/D34</f>
        <v>#DIV/0!</v>
      </c>
      <c r="F37" s="305"/>
      <c r="G37" s="305"/>
      <c r="H37" s="305"/>
      <c r="I37" s="305"/>
      <c r="J37" s="305"/>
      <c r="K37" s="305"/>
      <c r="L37" s="305"/>
      <c r="M37" s="156"/>
      <c r="N37" s="156"/>
      <c r="O37" s="156"/>
      <c r="P37" s="209"/>
      <c r="U37" s="208"/>
    </row>
    <row r="38" spans="2:21" x14ac:dyDescent="0.25">
      <c r="B38" s="209"/>
      <c r="C38" s="156"/>
      <c r="D38" s="226"/>
      <c r="E38" s="227"/>
      <c r="F38" s="227"/>
      <c r="G38" s="227"/>
      <c r="H38" s="227"/>
      <c r="I38" s="227"/>
      <c r="J38" s="227"/>
      <c r="K38" s="227"/>
      <c r="L38" s="227"/>
      <c r="M38" s="156"/>
      <c r="N38" s="156"/>
      <c r="O38" s="156"/>
      <c r="P38" s="209"/>
      <c r="U38" s="208"/>
    </row>
    <row r="39" spans="2:21" x14ac:dyDescent="0.25">
      <c r="B39" s="209"/>
      <c r="C39" s="156"/>
      <c r="D39" s="226"/>
      <c r="E39" s="227"/>
      <c r="F39" s="227"/>
      <c r="G39" s="227"/>
      <c r="H39" s="227"/>
      <c r="I39" s="227"/>
      <c r="J39" s="227"/>
      <c r="K39" s="227"/>
      <c r="L39" s="227"/>
      <c r="M39" s="156"/>
      <c r="N39" s="156"/>
      <c r="O39" s="156"/>
      <c r="P39" s="209"/>
      <c r="U39" s="208"/>
    </row>
    <row r="40" spans="2:21" x14ac:dyDescent="0.25">
      <c r="B40" s="209"/>
      <c r="C40" s="156"/>
      <c r="D40" s="226"/>
      <c r="E40" s="227"/>
      <c r="F40" s="227"/>
      <c r="G40" s="227"/>
      <c r="H40" s="227"/>
      <c r="I40" s="227"/>
      <c r="J40" s="227"/>
      <c r="K40" s="227"/>
      <c r="L40" s="227"/>
      <c r="M40" s="156"/>
      <c r="N40" s="156"/>
      <c r="O40" s="156"/>
      <c r="P40" s="209"/>
      <c r="U40" s="208"/>
    </row>
    <row r="41" spans="2:21" x14ac:dyDescent="0.25">
      <c r="B41" s="209"/>
      <c r="C41" s="156"/>
      <c r="D41" s="226"/>
      <c r="E41" s="227"/>
      <c r="F41" s="227"/>
      <c r="G41" s="227"/>
      <c r="H41" s="227"/>
      <c r="I41" s="227"/>
      <c r="J41" s="227"/>
      <c r="K41" s="227"/>
      <c r="L41" s="227"/>
      <c r="M41" s="156"/>
      <c r="N41" s="156"/>
      <c r="O41" s="156"/>
      <c r="P41" s="209"/>
      <c r="U41" s="208"/>
    </row>
    <row r="42" spans="2:21" x14ac:dyDescent="0.25">
      <c r="B42" s="209"/>
      <c r="C42" s="156"/>
      <c r="D42" s="226"/>
      <c r="E42" s="227"/>
      <c r="F42" s="227"/>
      <c r="G42" s="227"/>
      <c r="H42" s="227"/>
      <c r="I42" s="227"/>
      <c r="J42" s="227"/>
      <c r="K42" s="227"/>
      <c r="L42" s="227"/>
      <c r="M42" s="156"/>
      <c r="N42" s="156"/>
      <c r="O42" s="156"/>
      <c r="P42" s="209"/>
      <c r="U42" s="208"/>
    </row>
    <row r="43" spans="2:21" x14ac:dyDescent="0.25">
      <c r="B43" s="209"/>
      <c r="C43" s="156"/>
      <c r="D43" s="226"/>
      <c r="E43" s="227"/>
      <c r="F43" s="227"/>
      <c r="G43" s="227"/>
      <c r="H43" s="227"/>
      <c r="I43" s="227"/>
      <c r="J43" s="227"/>
      <c r="K43" s="227"/>
      <c r="L43" s="227"/>
      <c r="M43" s="156"/>
      <c r="N43" s="156"/>
      <c r="O43" s="156"/>
      <c r="P43" s="209"/>
      <c r="U43" s="208"/>
    </row>
    <row r="44" spans="2:21" x14ac:dyDescent="0.25">
      <c r="B44" s="209"/>
      <c r="C44" s="156"/>
      <c r="D44" s="226"/>
      <c r="E44" s="227"/>
      <c r="F44" s="227"/>
      <c r="G44" s="227"/>
      <c r="H44" s="227"/>
      <c r="I44" s="227"/>
      <c r="J44" s="227"/>
      <c r="K44" s="227"/>
      <c r="L44" s="227"/>
      <c r="M44" s="156"/>
      <c r="N44" s="156"/>
      <c r="O44" s="156"/>
      <c r="P44" s="209"/>
      <c r="U44" s="208"/>
    </row>
    <row r="45" spans="2:21" x14ac:dyDescent="0.25">
      <c r="B45" s="209"/>
      <c r="C45" s="156"/>
      <c r="D45" s="226"/>
      <c r="E45" s="227"/>
      <c r="F45" s="227"/>
      <c r="G45" s="227"/>
      <c r="H45" s="227"/>
      <c r="I45" s="227"/>
      <c r="J45" s="227"/>
      <c r="K45" s="227"/>
      <c r="L45" s="227"/>
      <c r="M45" s="156"/>
      <c r="N45" s="156"/>
      <c r="O45" s="156"/>
      <c r="P45" s="209"/>
      <c r="U45" s="208"/>
    </row>
    <row r="46" spans="2:21" x14ac:dyDescent="0.25">
      <c r="B46" s="209"/>
      <c r="C46" s="156"/>
      <c r="D46" s="226"/>
      <c r="E46" s="227"/>
      <c r="F46" s="227"/>
      <c r="G46" s="227"/>
      <c r="H46" s="227"/>
      <c r="I46" s="227"/>
      <c r="J46" s="227"/>
      <c r="K46" s="227"/>
      <c r="L46" s="227"/>
      <c r="M46" s="156"/>
      <c r="N46" s="156"/>
      <c r="O46" s="156"/>
      <c r="P46" s="209"/>
      <c r="U46" s="208"/>
    </row>
    <row r="47" spans="2:21" x14ac:dyDescent="0.25">
      <c r="B47" s="209"/>
      <c r="C47" s="156"/>
      <c r="D47" s="226"/>
      <c r="E47" s="227"/>
      <c r="F47" s="227"/>
      <c r="G47" s="227"/>
      <c r="H47" s="227"/>
      <c r="I47" s="227"/>
      <c r="J47" s="227"/>
      <c r="K47" s="227"/>
      <c r="L47" s="227"/>
      <c r="M47" s="156"/>
      <c r="N47" s="156"/>
      <c r="O47" s="156"/>
      <c r="P47" s="209"/>
      <c r="U47" s="208"/>
    </row>
    <row r="48" spans="2:21" x14ac:dyDescent="0.25">
      <c r="B48" s="209"/>
      <c r="C48" s="156"/>
      <c r="D48" s="226"/>
      <c r="E48" s="227"/>
      <c r="F48" s="227"/>
      <c r="G48" s="227"/>
      <c r="H48" s="227"/>
      <c r="I48" s="227"/>
      <c r="J48" s="227"/>
      <c r="K48" s="227"/>
      <c r="L48" s="227"/>
      <c r="M48" s="156"/>
      <c r="N48" s="156"/>
      <c r="O48" s="156"/>
      <c r="P48" s="209"/>
      <c r="U48" s="208"/>
    </row>
    <row r="49" spans="1:21" x14ac:dyDescent="0.25">
      <c r="B49" s="209"/>
      <c r="C49" s="156"/>
      <c r="D49" s="156"/>
      <c r="E49" s="156"/>
      <c r="F49" s="156"/>
      <c r="G49" s="156"/>
      <c r="H49" s="156"/>
      <c r="I49" s="156"/>
      <c r="J49" s="156"/>
      <c r="K49" s="156"/>
      <c r="L49" s="156"/>
      <c r="M49" s="156"/>
      <c r="N49" s="156"/>
      <c r="O49" s="156"/>
      <c r="P49" s="209"/>
      <c r="U49" s="208"/>
    </row>
    <row r="50" spans="1:21" ht="6" customHeight="1" x14ac:dyDescent="0.25">
      <c r="B50" s="209"/>
      <c r="C50" s="228"/>
      <c r="D50" s="228"/>
      <c r="E50" s="228"/>
      <c r="F50" s="228"/>
      <c r="G50" s="228"/>
      <c r="H50" s="228"/>
      <c r="I50" s="228"/>
      <c r="J50" s="228"/>
      <c r="K50" s="228"/>
      <c r="L50" s="228"/>
      <c r="M50" s="228"/>
      <c r="N50" s="228"/>
      <c r="O50" s="228"/>
      <c r="P50" s="209"/>
      <c r="U50" s="208"/>
    </row>
    <row r="51" spans="1:21" x14ac:dyDescent="0.25">
      <c r="C51" s="156"/>
      <c r="D51" s="156"/>
      <c r="E51" s="156"/>
      <c r="F51" s="156"/>
      <c r="G51" s="156"/>
      <c r="H51" s="156"/>
      <c r="I51" s="156"/>
      <c r="J51" s="156"/>
      <c r="K51" s="156"/>
      <c r="L51" s="156"/>
      <c r="M51" s="156"/>
      <c r="N51" s="156"/>
      <c r="O51" s="156"/>
      <c r="U51" s="208"/>
    </row>
    <row r="52" spans="1:21" hidden="1" x14ac:dyDescent="0.25">
      <c r="A52" s="208"/>
      <c r="B52" s="208"/>
      <c r="C52" s="133"/>
      <c r="D52" s="133"/>
      <c r="E52" s="133"/>
      <c r="F52" s="133"/>
      <c r="G52" s="133"/>
      <c r="H52" s="133"/>
      <c r="I52" s="133"/>
      <c r="J52" s="133"/>
      <c r="K52" s="133"/>
      <c r="L52" s="133"/>
      <c r="M52" s="133"/>
      <c r="N52" s="133"/>
      <c r="O52" s="133"/>
      <c r="P52" s="208"/>
      <c r="Q52" s="229"/>
      <c r="R52" s="229"/>
      <c r="S52" s="229"/>
      <c r="T52" s="208"/>
      <c r="U52" s="208"/>
    </row>
    <row r="53" spans="1:21" hidden="1" x14ac:dyDescent="0.25">
      <c r="A53" s="208"/>
      <c r="B53" s="208"/>
      <c r="C53" s="133"/>
      <c r="D53" s="133"/>
      <c r="E53" s="133"/>
      <c r="F53" s="133"/>
      <c r="G53" s="133"/>
      <c r="H53" s="133"/>
      <c r="I53" s="133"/>
      <c r="J53" s="133"/>
      <c r="K53" s="133"/>
      <c r="L53" s="133"/>
      <c r="M53" s="133"/>
      <c r="N53" s="133"/>
      <c r="O53" s="133"/>
      <c r="P53" s="208"/>
      <c r="Q53" s="229"/>
      <c r="R53" s="229"/>
      <c r="S53" s="229"/>
      <c r="T53" s="208"/>
      <c r="U53" s="208"/>
    </row>
    <row r="54" spans="1:21" hidden="1" x14ac:dyDescent="0.25">
      <c r="A54" s="208"/>
      <c r="B54" s="208"/>
      <c r="C54" s="133"/>
      <c r="D54" s="133"/>
      <c r="E54" s="133"/>
      <c r="F54" s="133"/>
      <c r="G54" s="133"/>
      <c r="H54" s="133"/>
      <c r="I54" s="133"/>
      <c r="J54" s="133"/>
      <c r="K54" s="133"/>
      <c r="L54" s="133"/>
      <c r="M54" s="133"/>
      <c r="N54" s="133"/>
      <c r="O54" s="133"/>
      <c r="P54" s="208"/>
      <c r="Q54" s="229"/>
      <c r="R54" s="229"/>
      <c r="S54" s="229"/>
      <c r="T54" s="208"/>
      <c r="U54" s="208"/>
    </row>
    <row r="55" spans="1:21" hidden="1" x14ac:dyDescent="0.25">
      <c r="A55" s="208"/>
      <c r="B55" s="208"/>
      <c r="C55" s="133"/>
      <c r="D55" s="133"/>
      <c r="E55" s="133"/>
      <c r="F55" s="133"/>
      <c r="G55" s="133"/>
      <c r="H55" s="133"/>
      <c r="I55" s="133"/>
      <c r="J55" s="133"/>
      <c r="K55" s="133"/>
      <c r="L55" s="133"/>
      <c r="M55" s="133"/>
      <c r="N55" s="133"/>
      <c r="O55" s="133"/>
      <c r="P55" s="208"/>
      <c r="Q55" s="229"/>
      <c r="R55" s="229"/>
      <c r="S55" s="229"/>
      <c r="T55" s="208"/>
      <c r="U55" s="208"/>
    </row>
    <row r="56" spans="1:21" hidden="1" x14ac:dyDescent="0.25">
      <c r="A56" s="208"/>
      <c r="B56" s="208"/>
      <c r="C56" s="133"/>
      <c r="D56" s="133"/>
      <c r="E56" s="133"/>
      <c r="F56" s="133"/>
      <c r="G56" s="133"/>
      <c r="H56" s="133"/>
      <c r="I56" s="133"/>
      <c r="J56" s="133"/>
      <c r="K56" s="133"/>
      <c r="L56" s="133"/>
      <c r="M56" s="133"/>
      <c r="N56" s="133"/>
      <c r="O56" s="133"/>
      <c r="P56" s="208"/>
      <c r="Q56" s="229"/>
      <c r="R56" s="229"/>
      <c r="S56" s="229"/>
      <c r="T56" s="208"/>
      <c r="U56" s="208"/>
    </row>
    <row r="57" spans="1:21" hidden="1" x14ac:dyDescent="0.25">
      <c r="A57" s="208"/>
      <c r="B57" s="208"/>
      <c r="C57" s="133"/>
      <c r="D57" s="133"/>
      <c r="E57" s="133"/>
      <c r="F57" s="133"/>
      <c r="G57" s="133"/>
      <c r="H57" s="133"/>
      <c r="I57" s="133"/>
      <c r="J57" s="133"/>
      <c r="K57" s="133"/>
      <c r="L57" s="133"/>
      <c r="M57" s="133"/>
      <c r="N57" s="133"/>
      <c r="O57" s="133"/>
      <c r="P57" s="208"/>
      <c r="Q57" s="229"/>
      <c r="R57" s="229"/>
      <c r="S57" s="229"/>
      <c r="T57" s="208"/>
      <c r="U57" s="208"/>
    </row>
    <row r="58" spans="1:21" hidden="1" x14ac:dyDescent="0.25">
      <c r="A58" s="208"/>
      <c r="B58" s="208"/>
      <c r="C58" s="133"/>
      <c r="D58" s="133"/>
      <c r="E58" s="133"/>
      <c r="F58" s="133"/>
      <c r="G58" s="133"/>
      <c r="H58" s="133"/>
      <c r="I58" s="133"/>
      <c r="J58" s="133"/>
      <c r="K58" s="133"/>
      <c r="L58" s="133"/>
      <c r="M58" s="133"/>
      <c r="N58" s="133"/>
      <c r="O58" s="133"/>
      <c r="P58" s="208"/>
      <c r="Q58" s="229"/>
      <c r="R58" s="229"/>
      <c r="S58" s="229"/>
      <c r="T58" s="208"/>
      <c r="U58" s="208"/>
    </row>
    <row r="59" spans="1:21" hidden="1" x14ac:dyDescent="0.25">
      <c r="A59" s="208"/>
      <c r="B59" s="208"/>
      <c r="C59" s="133"/>
      <c r="D59" s="133"/>
      <c r="E59" s="133"/>
      <c r="F59" s="133"/>
      <c r="G59" s="133"/>
      <c r="H59" s="133"/>
      <c r="I59" s="133"/>
      <c r="J59" s="133"/>
      <c r="K59" s="133"/>
      <c r="L59" s="133"/>
      <c r="M59" s="133"/>
      <c r="N59" s="133"/>
      <c r="O59" s="133"/>
      <c r="P59" s="208"/>
      <c r="Q59" s="229"/>
      <c r="R59" s="229"/>
      <c r="S59" s="229"/>
      <c r="T59" s="208"/>
      <c r="U59" s="208"/>
    </row>
    <row r="60" spans="1:21" hidden="1" x14ac:dyDescent="0.25">
      <c r="A60" s="208"/>
      <c r="B60" s="208"/>
      <c r="C60" s="133"/>
      <c r="D60" s="133"/>
      <c r="E60" s="133"/>
      <c r="F60" s="133"/>
      <c r="G60" s="133"/>
      <c r="H60" s="133"/>
      <c r="I60" s="133"/>
      <c r="J60" s="133"/>
      <c r="K60" s="133"/>
      <c r="L60" s="133"/>
      <c r="M60" s="133"/>
      <c r="N60" s="133"/>
      <c r="O60" s="133"/>
      <c r="P60" s="208"/>
      <c r="Q60" s="229"/>
      <c r="R60" s="229"/>
      <c r="S60" s="229"/>
      <c r="T60" s="208"/>
      <c r="U60" s="208"/>
    </row>
    <row r="61" spans="1:21" hidden="1" x14ac:dyDescent="0.25">
      <c r="A61" s="208"/>
      <c r="B61" s="208"/>
      <c r="C61" s="133"/>
      <c r="D61" s="133"/>
      <c r="E61" s="133"/>
      <c r="F61" s="133"/>
      <c r="G61" s="133"/>
      <c r="H61" s="133"/>
      <c r="I61" s="133"/>
      <c r="J61" s="133"/>
      <c r="K61" s="133"/>
      <c r="L61" s="133"/>
      <c r="M61" s="133"/>
      <c r="N61" s="133"/>
      <c r="O61" s="133"/>
      <c r="P61" s="208"/>
      <c r="Q61" s="229"/>
      <c r="R61" s="229"/>
      <c r="S61" s="229"/>
      <c r="T61" s="208"/>
      <c r="U61" s="208"/>
    </row>
    <row r="62" spans="1:21" ht="10.15" hidden="1" customHeight="1" x14ac:dyDescent="0.25">
      <c r="A62" s="208"/>
      <c r="B62" s="208"/>
      <c r="C62" s="133"/>
      <c r="D62" s="133"/>
      <c r="E62" s="133"/>
      <c r="F62" s="133"/>
      <c r="G62" s="133"/>
      <c r="H62" s="133"/>
      <c r="I62" s="133"/>
      <c r="J62" s="133"/>
      <c r="K62" s="133"/>
      <c r="L62" s="133"/>
      <c r="M62" s="133"/>
      <c r="N62" s="133"/>
      <c r="O62" s="133"/>
      <c r="P62" s="208"/>
      <c r="Q62" s="229"/>
      <c r="R62" s="229"/>
      <c r="S62" s="229"/>
      <c r="T62" s="208"/>
      <c r="U62" s="208"/>
    </row>
    <row r="63" spans="1:21" ht="10.9" hidden="1" customHeight="1" x14ac:dyDescent="0.25">
      <c r="A63" s="208"/>
      <c r="B63" s="208"/>
      <c r="C63" s="133"/>
      <c r="D63" s="133"/>
      <c r="E63" s="133"/>
      <c r="F63" s="133"/>
      <c r="G63" s="133"/>
      <c r="H63" s="133"/>
      <c r="I63" s="133"/>
      <c r="J63" s="133"/>
      <c r="K63" s="133"/>
      <c r="L63" s="133"/>
      <c r="M63" s="133"/>
      <c r="N63" s="133"/>
      <c r="O63" s="133"/>
      <c r="P63" s="208"/>
      <c r="Q63" s="229"/>
      <c r="R63" s="229"/>
      <c r="S63" s="229"/>
      <c r="T63" s="208"/>
      <c r="U63" s="208"/>
    </row>
    <row r="64" spans="1:21" ht="10.9" hidden="1" customHeight="1" x14ac:dyDescent="0.25">
      <c r="A64" s="208"/>
      <c r="B64" s="208"/>
      <c r="C64" s="133"/>
      <c r="D64" s="133"/>
      <c r="E64" s="133"/>
      <c r="F64" s="133"/>
      <c r="G64" s="133"/>
      <c r="H64" s="133"/>
      <c r="I64" s="133"/>
      <c r="J64" s="133"/>
      <c r="K64" s="133"/>
      <c r="L64" s="133"/>
      <c r="M64" s="133"/>
      <c r="N64" s="133"/>
      <c r="O64" s="133"/>
      <c r="P64" s="208"/>
      <c r="Q64" s="229"/>
      <c r="R64" s="229"/>
      <c r="S64" s="229"/>
      <c r="T64" s="208"/>
      <c r="U64" s="208"/>
    </row>
    <row r="65" spans="1:21" ht="10.9" hidden="1" customHeight="1" x14ac:dyDescent="0.25">
      <c r="A65" s="208"/>
      <c r="B65" s="208"/>
      <c r="C65" s="133"/>
      <c r="D65" s="133"/>
      <c r="E65" s="133"/>
      <c r="F65" s="133"/>
      <c r="G65" s="133"/>
      <c r="H65" s="133"/>
      <c r="I65" s="133"/>
      <c r="J65" s="133"/>
      <c r="K65" s="133"/>
      <c r="L65" s="133"/>
      <c r="M65" s="133"/>
      <c r="N65" s="133"/>
      <c r="O65" s="133"/>
      <c r="P65" s="208"/>
      <c r="Q65" s="229"/>
      <c r="R65" s="229"/>
      <c r="S65" s="229"/>
      <c r="T65" s="208"/>
      <c r="U65" s="208"/>
    </row>
    <row r="66" spans="1:21" ht="6" hidden="1" customHeight="1" x14ac:dyDescent="0.25">
      <c r="A66" s="208"/>
      <c r="B66" s="208"/>
      <c r="C66" s="133"/>
      <c r="D66" s="133"/>
      <c r="E66" s="133"/>
      <c r="F66" s="133"/>
      <c r="G66" s="133"/>
      <c r="H66" s="133"/>
      <c r="I66" s="133"/>
      <c r="J66" s="133"/>
      <c r="K66" s="133"/>
      <c r="L66" s="133"/>
      <c r="M66" s="133"/>
      <c r="N66" s="133"/>
      <c r="O66" s="133"/>
      <c r="P66" s="208"/>
      <c r="Q66" s="229"/>
      <c r="R66" s="229"/>
      <c r="S66" s="229"/>
      <c r="T66" s="208"/>
      <c r="U66" s="208"/>
    </row>
    <row r="67" spans="1:21" hidden="1" x14ac:dyDescent="0.25">
      <c r="A67" s="208"/>
      <c r="B67" s="208"/>
      <c r="C67" s="133"/>
      <c r="D67" s="133"/>
      <c r="E67" s="133"/>
      <c r="F67" s="133"/>
      <c r="G67" s="133"/>
      <c r="H67" s="133"/>
      <c r="I67" s="133"/>
      <c r="J67" s="133"/>
      <c r="K67" s="133"/>
      <c r="L67" s="133"/>
      <c r="M67" s="133"/>
      <c r="N67" s="133"/>
      <c r="O67" s="133"/>
      <c r="P67" s="208"/>
      <c r="Q67" s="229"/>
      <c r="R67" s="229"/>
      <c r="S67" s="229"/>
      <c r="T67" s="208"/>
      <c r="U67" s="208"/>
    </row>
    <row r="68" spans="1:21" ht="6.75" hidden="1" customHeight="1" x14ac:dyDescent="0.25">
      <c r="A68" s="208"/>
      <c r="B68" s="208"/>
      <c r="C68" s="133"/>
      <c r="D68" s="133"/>
      <c r="E68" s="133"/>
      <c r="F68" s="133"/>
      <c r="G68" s="133"/>
      <c r="H68" s="133"/>
      <c r="I68" s="133"/>
      <c r="J68" s="133"/>
      <c r="K68" s="133"/>
      <c r="L68" s="133"/>
      <c r="M68" s="133"/>
      <c r="N68" s="133"/>
      <c r="O68" s="133"/>
      <c r="P68" s="208"/>
      <c r="Q68" s="229"/>
      <c r="R68" s="229"/>
      <c r="S68" s="229"/>
      <c r="T68" s="208"/>
      <c r="U68" s="208"/>
    </row>
    <row r="69" spans="1:21" ht="8.25" hidden="1" customHeight="1" x14ac:dyDescent="0.25">
      <c r="A69" s="208"/>
      <c r="B69" s="208"/>
      <c r="C69" s="133"/>
      <c r="D69" s="133"/>
      <c r="E69" s="133"/>
      <c r="F69" s="133"/>
      <c r="G69" s="133"/>
      <c r="H69" s="133"/>
      <c r="I69" s="133"/>
      <c r="J69" s="133"/>
      <c r="K69" s="133"/>
      <c r="L69" s="133"/>
      <c r="M69" s="133"/>
      <c r="N69" s="133"/>
      <c r="O69" s="133"/>
      <c r="P69" s="208"/>
      <c r="Q69" s="229"/>
      <c r="R69" s="229"/>
      <c r="S69" s="229"/>
      <c r="T69" s="208"/>
      <c r="U69" s="208"/>
    </row>
    <row r="70" spans="1:21" hidden="1" x14ac:dyDescent="0.25">
      <c r="A70" s="208"/>
      <c r="B70" s="208"/>
      <c r="C70" s="133"/>
      <c r="D70" s="133"/>
      <c r="E70" s="133"/>
      <c r="F70" s="133"/>
      <c r="G70" s="133"/>
      <c r="H70" s="133"/>
      <c r="I70" s="133"/>
      <c r="J70" s="133"/>
      <c r="K70" s="133"/>
      <c r="L70" s="133"/>
      <c r="M70" s="133"/>
      <c r="N70" s="133"/>
      <c r="O70" s="133"/>
      <c r="P70" s="208"/>
      <c r="Q70" s="229"/>
      <c r="R70" s="229"/>
      <c r="S70" s="229"/>
      <c r="T70" s="208"/>
      <c r="U70" s="208"/>
    </row>
    <row r="71" spans="1:21" hidden="1" x14ac:dyDescent="0.25">
      <c r="A71" s="208"/>
      <c r="B71" s="208"/>
      <c r="C71" s="133"/>
      <c r="D71" s="133"/>
      <c r="E71" s="133"/>
      <c r="F71" s="133"/>
      <c r="G71" s="133"/>
      <c r="H71" s="133"/>
      <c r="I71" s="133"/>
      <c r="J71" s="133"/>
      <c r="K71" s="133"/>
      <c r="L71" s="133"/>
      <c r="M71" s="133"/>
      <c r="N71" s="133"/>
      <c r="O71" s="133"/>
      <c r="P71" s="208"/>
      <c r="Q71" s="229"/>
      <c r="R71" s="229"/>
      <c r="S71" s="229"/>
      <c r="T71" s="208"/>
      <c r="U71" s="208"/>
    </row>
    <row r="72" spans="1:21" hidden="1" x14ac:dyDescent="0.25">
      <c r="A72" s="208"/>
      <c r="B72" s="208"/>
      <c r="C72" s="133"/>
      <c r="D72" s="133"/>
      <c r="E72" s="133"/>
      <c r="F72" s="133"/>
      <c r="G72" s="133"/>
      <c r="H72" s="133"/>
      <c r="I72" s="133"/>
      <c r="J72" s="133"/>
      <c r="K72" s="133"/>
      <c r="L72" s="133"/>
      <c r="M72" s="133"/>
      <c r="N72" s="133"/>
      <c r="O72" s="133"/>
      <c r="P72" s="208"/>
      <c r="Q72" s="229"/>
      <c r="R72" s="229"/>
      <c r="S72" s="229"/>
      <c r="T72" s="208"/>
      <c r="U72" s="208"/>
    </row>
    <row r="73" spans="1:21" ht="15.75" hidden="1" customHeight="1" x14ac:dyDescent="0.25">
      <c r="A73" s="208"/>
      <c r="B73" s="208"/>
      <c r="C73" s="133"/>
      <c r="D73" s="133"/>
      <c r="E73" s="133"/>
      <c r="F73" s="133"/>
      <c r="G73" s="133"/>
      <c r="H73" s="133"/>
      <c r="I73" s="133"/>
      <c r="J73" s="133"/>
      <c r="K73" s="133"/>
      <c r="L73" s="133"/>
      <c r="M73" s="133"/>
      <c r="N73" s="133"/>
      <c r="O73" s="133"/>
      <c r="P73" s="208"/>
      <c r="Q73" s="229"/>
      <c r="R73" s="229"/>
      <c r="S73" s="229"/>
      <c r="T73" s="208"/>
      <c r="U73" s="208"/>
    </row>
    <row r="74" spans="1:21" ht="15" hidden="1" customHeight="1" x14ac:dyDescent="0.25">
      <c r="A74" s="208"/>
      <c r="B74" s="208"/>
      <c r="C74" s="133"/>
      <c r="D74" s="133"/>
      <c r="E74" s="133"/>
      <c r="F74" s="133"/>
      <c r="G74" s="133"/>
      <c r="H74" s="133"/>
      <c r="I74" s="133"/>
      <c r="J74" s="133"/>
      <c r="K74" s="133"/>
      <c r="L74" s="133"/>
      <c r="M74" s="133"/>
      <c r="N74" s="133"/>
      <c r="O74" s="133"/>
      <c r="P74" s="208"/>
      <c r="Q74" s="229"/>
      <c r="R74" s="229"/>
      <c r="S74" s="229"/>
      <c r="T74" s="208"/>
      <c r="U74" s="208"/>
    </row>
    <row r="75" spans="1:21" ht="15" hidden="1" customHeight="1" x14ac:dyDescent="0.25">
      <c r="A75" s="208"/>
      <c r="B75" s="208"/>
      <c r="C75" s="133"/>
      <c r="D75" s="133"/>
      <c r="E75" s="133"/>
      <c r="F75" s="133"/>
      <c r="G75" s="133"/>
      <c r="H75" s="133"/>
      <c r="I75" s="133"/>
      <c r="J75" s="133"/>
      <c r="K75" s="133"/>
      <c r="L75" s="133"/>
      <c r="M75" s="133"/>
      <c r="N75" s="133"/>
      <c r="O75" s="133"/>
      <c r="P75" s="208"/>
      <c r="Q75" s="229"/>
      <c r="R75" s="229"/>
      <c r="S75" s="229"/>
      <c r="T75" s="208"/>
      <c r="U75" s="208"/>
    </row>
    <row r="76" spans="1:21" ht="15" hidden="1" customHeight="1" x14ac:dyDescent="0.25">
      <c r="A76" s="208"/>
      <c r="B76" s="208"/>
      <c r="C76" s="133"/>
      <c r="D76" s="133"/>
      <c r="E76" s="133"/>
      <c r="F76" s="133"/>
      <c r="G76" s="133"/>
      <c r="H76" s="133"/>
      <c r="I76" s="133"/>
      <c r="J76" s="133"/>
      <c r="K76" s="133"/>
      <c r="L76" s="133"/>
      <c r="M76" s="133"/>
      <c r="N76" s="133"/>
      <c r="O76" s="133"/>
      <c r="P76" s="208"/>
      <c r="Q76" s="229"/>
      <c r="R76" s="229"/>
      <c r="S76" s="229"/>
      <c r="T76" s="208"/>
      <c r="U76" s="208"/>
    </row>
    <row r="77" spans="1:21" ht="15" hidden="1" customHeight="1" x14ac:dyDescent="0.25">
      <c r="A77" s="208"/>
      <c r="B77" s="208"/>
      <c r="C77" s="133"/>
      <c r="D77" s="133"/>
      <c r="E77" s="133"/>
      <c r="F77" s="133"/>
      <c r="G77" s="133"/>
      <c r="H77" s="133"/>
      <c r="I77" s="133"/>
      <c r="J77" s="133"/>
      <c r="K77" s="133"/>
      <c r="L77" s="133"/>
      <c r="M77" s="133"/>
      <c r="N77" s="133"/>
      <c r="O77" s="133"/>
      <c r="P77" s="208"/>
      <c r="Q77" s="229"/>
      <c r="R77" s="229"/>
      <c r="S77" s="229"/>
      <c r="T77" s="208"/>
      <c r="U77" s="208"/>
    </row>
    <row r="78" spans="1:21" hidden="1" x14ac:dyDescent="0.25">
      <c r="A78" s="208"/>
      <c r="B78" s="208"/>
      <c r="C78" s="133"/>
      <c r="D78" s="133"/>
      <c r="E78" s="133"/>
      <c r="F78" s="133"/>
      <c r="G78" s="133"/>
      <c r="H78" s="133"/>
      <c r="I78" s="133"/>
      <c r="J78" s="133"/>
      <c r="K78" s="133"/>
      <c r="L78" s="133"/>
      <c r="M78" s="133"/>
      <c r="N78" s="133"/>
      <c r="O78" s="133"/>
      <c r="P78" s="208"/>
      <c r="Q78" s="229"/>
      <c r="R78" s="229"/>
      <c r="S78" s="229"/>
      <c r="T78" s="208"/>
      <c r="U78" s="208"/>
    </row>
    <row r="79" spans="1:21" hidden="1" x14ac:dyDescent="0.25">
      <c r="A79" s="208"/>
      <c r="B79" s="208"/>
      <c r="C79" s="133"/>
      <c r="D79" s="133"/>
      <c r="E79" s="133"/>
      <c r="F79" s="133"/>
      <c r="G79" s="133"/>
      <c r="H79" s="133"/>
      <c r="I79" s="133"/>
      <c r="J79" s="133"/>
      <c r="K79" s="133"/>
      <c r="L79" s="133"/>
      <c r="M79" s="133"/>
      <c r="N79" s="133"/>
      <c r="O79" s="133"/>
      <c r="P79" s="208"/>
      <c r="Q79" s="229"/>
      <c r="R79" s="229"/>
      <c r="S79" s="229"/>
      <c r="T79" s="208"/>
      <c r="U79" s="208"/>
    </row>
    <row r="80" spans="1:21" hidden="1" x14ac:dyDescent="0.25">
      <c r="A80" s="208"/>
      <c r="B80" s="208"/>
      <c r="C80" s="133"/>
      <c r="D80" s="133"/>
      <c r="E80" s="133"/>
      <c r="F80" s="133"/>
      <c r="G80" s="133"/>
      <c r="H80" s="133"/>
      <c r="I80" s="133"/>
      <c r="J80" s="133"/>
      <c r="K80" s="133"/>
      <c r="L80" s="133"/>
      <c r="M80" s="133"/>
      <c r="N80" s="133"/>
      <c r="O80" s="133"/>
      <c r="P80" s="208"/>
      <c r="Q80" s="229"/>
      <c r="R80" s="229"/>
      <c r="S80" s="229"/>
      <c r="T80" s="208"/>
      <c r="U80" s="208"/>
    </row>
    <row r="81" spans="1:21" hidden="1" x14ac:dyDescent="0.25">
      <c r="A81" s="208"/>
      <c r="B81" s="208"/>
      <c r="C81" s="133"/>
      <c r="D81" s="133"/>
      <c r="E81" s="133"/>
      <c r="F81" s="133"/>
      <c r="G81" s="133"/>
      <c r="H81" s="133"/>
      <c r="I81" s="133"/>
      <c r="J81" s="133"/>
      <c r="K81" s="133"/>
      <c r="L81" s="133"/>
      <c r="M81" s="133"/>
      <c r="N81" s="133"/>
      <c r="O81" s="133"/>
      <c r="P81" s="208"/>
      <c r="Q81" s="229"/>
      <c r="R81" s="229"/>
      <c r="S81" s="229"/>
      <c r="T81" s="208"/>
      <c r="U81" s="208"/>
    </row>
    <row r="82" spans="1:21" hidden="1" x14ac:dyDescent="0.25">
      <c r="A82" s="208"/>
      <c r="B82" s="208"/>
      <c r="C82" s="133"/>
      <c r="D82" s="133"/>
      <c r="E82" s="133"/>
      <c r="F82" s="133"/>
      <c r="G82" s="133"/>
      <c r="H82" s="133"/>
      <c r="I82" s="133"/>
      <c r="J82" s="133"/>
      <c r="K82" s="133"/>
      <c r="L82" s="133"/>
      <c r="M82" s="133"/>
      <c r="N82" s="133"/>
      <c r="O82" s="133"/>
      <c r="P82" s="208"/>
      <c r="Q82" s="229"/>
      <c r="R82" s="229"/>
      <c r="S82" s="229"/>
      <c r="T82" s="208"/>
      <c r="U82" s="208"/>
    </row>
    <row r="83" spans="1:21" hidden="1" x14ac:dyDescent="0.25">
      <c r="A83" s="208"/>
      <c r="B83" s="208"/>
      <c r="C83" s="133"/>
      <c r="D83" s="133"/>
      <c r="E83" s="133"/>
      <c r="F83" s="133"/>
      <c r="G83" s="133"/>
      <c r="H83" s="133"/>
      <c r="I83" s="133"/>
      <c r="J83" s="133"/>
      <c r="K83" s="133"/>
      <c r="L83" s="133"/>
      <c r="M83" s="133"/>
      <c r="N83" s="133"/>
      <c r="O83" s="133"/>
      <c r="P83" s="208"/>
      <c r="Q83" s="229"/>
      <c r="R83" s="229"/>
      <c r="S83" s="229"/>
      <c r="T83" s="208"/>
      <c r="U83" s="208"/>
    </row>
    <row r="84" spans="1:21" hidden="1" x14ac:dyDescent="0.25">
      <c r="A84" s="208"/>
      <c r="B84" s="208"/>
      <c r="C84" s="133"/>
      <c r="D84" s="133"/>
      <c r="E84" s="133"/>
      <c r="F84" s="133"/>
      <c r="G84" s="133"/>
      <c r="H84" s="133"/>
      <c r="I84" s="133"/>
      <c r="J84" s="133"/>
      <c r="K84" s="133"/>
      <c r="L84" s="133"/>
      <c r="M84" s="133"/>
      <c r="N84" s="133"/>
      <c r="O84" s="133"/>
      <c r="P84" s="208"/>
      <c r="Q84" s="229"/>
      <c r="R84" s="229"/>
      <c r="S84" s="229"/>
      <c r="T84" s="208"/>
      <c r="U84" s="208"/>
    </row>
    <row r="85" spans="1:21" hidden="1" x14ac:dyDescent="0.25">
      <c r="A85" s="208"/>
      <c r="B85" s="208"/>
      <c r="C85" s="133"/>
      <c r="D85" s="133"/>
      <c r="E85" s="133"/>
      <c r="F85" s="133"/>
      <c r="G85" s="133"/>
      <c r="H85" s="133"/>
      <c r="I85" s="133"/>
      <c r="J85" s="133"/>
      <c r="K85" s="133"/>
      <c r="L85" s="133"/>
      <c r="M85" s="133"/>
      <c r="N85" s="133"/>
      <c r="O85" s="133"/>
      <c r="P85" s="208"/>
      <c r="Q85" s="229"/>
      <c r="R85" s="229"/>
      <c r="S85" s="229"/>
      <c r="T85" s="208"/>
      <c r="U85" s="208"/>
    </row>
    <row r="86" spans="1:21" hidden="1" x14ac:dyDescent="0.25">
      <c r="A86" s="208"/>
      <c r="B86" s="208"/>
      <c r="C86" s="133"/>
      <c r="D86" s="133"/>
      <c r="E86" s="133"/>
      <c r="F86" s="133"/>
      <c r="G86" s="133"/>
      <c r="H86" s="133"/>
      <c r="I86" s="133"/>
      <c r="J86" s="133"/>
      <c r="K86" s="133"/>
      <c r="L86" s="133"/>
      <c r="M86" s="133"/>
      <c r="N86" s="133"/>
      <c r="O86" s="133"/>
      <c r="P86" s="208"/>
      <c r="Q86" s="229"/>
      <c r="R86" s="229"/>
      <c r="S86" s="229"/>
      <c r="T86" s="208"/>
      <c r="U86" s="208"/>
    </row>
    <row r="87" spans="1:21" hidden="1" x14ac:dyDescent="0.25">
      <c r="C87" s="156"/>
      <c r="D87" s="156"/>
      <c r="E87" s="156"/>
      <c r="F87" s="156"/>
      <c r="G87" s="156"/>
      <c r="H87" s="156"/>
      <c r="I87" s="156"/>
      <c r="J87" s="156"/>
      <c r="K87" s="156"/>
      <c r="L87" s="156"/>
      <c r="M87" s="156"/>
      <c r="N87" s="156"/>
      <c r="O87" s="156"/>
    </row>
    <row r="88" spans="1:21" hidden="1" x14ac:dyDescent="0.25">
      <c r="C88" s="156"/>
      <c r="D88" s="156"/>
      <c r="E88" s="156"/>
      <c r="F88" s="156"/>
      <c r="G88" s="156"/>
      <c r="H88" s="156"/>
      <c r="I88" s="156"/>
      <c r="J88" s="156"/>
      <c r="K88" s="156"/>
      <c r="L88" s="156"/>
      <c r="M88" s="156"/>
      <c r="N88" s="156"/>
      <c r="O88" s="156"/>
    </row>
  </sheetData>
  <sheetProtection algorithmName="SHA-512" hashValue="ziL1Ytn3O4LOhmQSYwsMJVfuEAEjJTjheR+npKCYbng7JFLI0AFWAqfN1kdrIGuAutkqJHurUNKToZ0an3XU1A==" saltValue="UeUeAw7HYVrCtWPhNEVIvw==" spinCount="100000" sheet="1" objects="1" scenarios="1"/>
  <mergeCells count="4">
    <mergeCell ref="D4:M4"/>
    <mergeCell ref="D5:M5"/>
    <mergeCell ref="E22:L22"/>
    <mergeCell ref="E37:L37"/>
  </mergeCells>
  <conditionalFormatting sqref="D7">
    <cfRule type="expression" dxfId="0" priority="1">
      <formula>#REF!="Yes"</formula>
    </cfRule>
  </conditionalFormatting>
  <pageMargins left="0.3" right="0.18" top="0.36" bottom="0.35" header="0.25" footer="0.25"/>
  <pageSetup scale="96"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dimension ref="A1:B1"/>
  <sheetViews>
    <sheetView workbookViewId="0">
      <selection activeCell="A2" sqref="A2"/>
    </sheetView>
  </sheetViews>
  <sheetFormatPr defaultRowHeight="12.75" x14ac:dyDescent="0.2"/>
  <sheetData>
    <row r="1" spans="1:2" x14ac:dyDescent="0.2">
      <c r="A1" t="s">
        <v>0</v>
      </c>
      <c r="B1" t="s">
        <v>1</v>
      </c>
    </row>
  </sheetData>
  <phoneticPr fontId="3" type="noConversion"/>
  <pageMargins left="0.75" right="0.75" top="1" bottom="1" header="0.5" footer="0.5"/>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1EB3F97F4AE0E42B45E1938BBA1EB2E" ma:contentTypeVersion="12" ma:contentTypeDescription="Create a new document." ma:contentTypeScope="" ma:versionID="7c5b1271ee1ec7d88045a4c09582be70">
  <xsd:schema xmlns:xsd="http://www.w3.org/2001/XMLSchema" xmlns:xs="http://www.w3.org/2001/XMLSchema" xmlns:p="http://schemas.microsoft.com/office/2006/metadata/properties" xmlns:ns3="29b36ee5-1ca7-46dd-b5f0-cd38d455131d" xmlns:ns4="dbe9e2a1-d586-409c-905c-748d15c9a972" targetNamespace="http://schemas.microsoft.com/office/2006/metadata/properties" ma:root="true" ma:fieldsID="e8335a1bafc27793898155234b251767" ns3:_="" ns4:_="">
    <xsd:import namespace="29b36ee5-1ca7-46dd-b5f0-cd38d455131d"/>
    <xsd:import namespace="dbe9e2a1-d586-409c-905c-748d15c9a972"/>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9b36ee5-1ca7-46dd-b5f0-cd38d455131d"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be9e2a1-d586-409c-905c-748d15c9a972"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6AD819A-8F0A-4977-9004-1B9B95B5A34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9b36ee5-1ca7-46dd-b5f0-cd38d455131d"/>
    <ds:schemaRef ds:uri="dbe9e2a1-d586-409c-905c-748d15c9a97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F9F968F-E0AD-42DD-A772-6572511C635C}">
  <ds:schemaRefs>
    <ds:schemaRef ds:uri="http://schemas.openxmlformats.org/package/2006/metadata/core-properties"/>
    <ds:schemaRef ds:uri="29b36ee5-1ca7-46dd-b5f0-cd38d455131d"/>
    <ds:schemaRef ds:uri="http://schemas.microsoft.com/office/2006/documentManagement/types"/>
    <ds:schemaRef ds:uri="http://schemas.microsoft.com/office/infopath/2007/PartnerControls"/>
    <ds:schemaRef ds:uri="http://purl.org/dc/elements/1.1/"/>
    <ds:schemaRef ds:uri="http://schemas.microsoft.com/office/2006/metadata/properties"/>
    <ds:schemaRef ds:uri="dbe9e2a1-d586-409c-905c-748d15c9a972"/>
    <ds:schemaRef ds:uri="http://purl.org/dc/terms/"/>
    <ds:schemaRef ds:uri="http://www.w3.org/XML/1998/namespace"/>
    <ds:schemaRef ds:uri="http://purl.org/dc/dcmitype/"/>
  </ds:schemaRefs>
</ds:datastoreItem>
</file>

<file path=customXml/itemProps3.xml><?xml version="1.0" encoding="utf-8"?>
<ds:datastoreItem xmlns:ds="http://schemas.openxmlformats.org/officeDocument/2006/customXml" ds:itemID="{34CCFCF6-AA6C-4018-A70B-1090EAADEF03}">
  <ds:schemaRefs>
    <ds:schemaRef ds:uri="http://schemas.microsoft.com/sharepoint/v3/contenttype/forms"/>
  </ds:schemaRefs>
</ds:datastoreItem>
</file>

<file path=docMetadata/LabelInfo.xml><?xml version="1.0" encoding="utf-8"?>
<clbl:labelList xmlns:clbl="http://schemas.microsoft.com/office/2020/mipLabelMetadata">
  <clbl:label id="{f52e3166-5357-4b2b-8d76-c296527191bc}" enabled="0" method="" siteId="{f52e3166-5357-4b2b-8d76-c296527191bc}"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4</vt:i4>
      </vt:variant>
    </vt:vector>
  </HeadingPairs>
  <TitlesOfParts>
    <vt:vector size="14" baseType="lpstr">
      <vt:lpstr>Disclaimer</vt:lpstr>
      <vt:lpstr>Instructions</vt:lpstr>
      <vt:lpstr>Input</vt:lpstr>
      <vt:lpstr>Calculations</vt:lpstr>
      <vt:lpstr>copyright_disclaimer</vt:lpstr>
      <vt:lpstr>Tax Calculator - Calculations</vt:lpstr>
      <vt:lpstr>Extension</vt:lpstr>
      <vt:lpstr>Tax Calculator - Extension</vt:lpstr>
      <vt:lpstr>Truth in Taxation</vt:lpstr>
      <vt:lpstr>InfoPage</vt:lpstr>
      <vt:lpstr>Calculations!Print_Area</vt:lpstr>
      <vt:lpstr>Extension!Print_Area</vt:lpstr>
      <vt:lpstr>Input!Print_Area</vt:lpstr>
      <vt:lpstr>'Truth in Taxation'!Print_Area</vt:lpstr>
    </vt:vector>
  </TitlesOfParts>
  <Company>School Business &amp; Support Services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Certificate of Tax Levy</dc:title>
  <dc:subject>Form</dc:subject>
  <dc:creator>DJH</dc:creator>
  <cp:lastModifiedBy>Jasen Pinkerton</cp:lastModifiedBy>
  <cp:lastPrinted>2020-05-20T14:04:57Z</cp:lastPrinted>
  <dcterms:created xsi:type="dcterms:W3CDTF">2001-07-03T19:36:57Z</dcterms:created>
  <dcterms:modified xsi:type="dcterms:W3CDTF">2024-08-23T19:39:37Z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0x010100C1EB3F97F4AE0E42B45E1938BBA1EB2E</vt:lpwstr>
  </property>
</Properties>
</file>