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ustomProperty1.bin" ContentType="application/vnd.openxmlformats-officedocument.spreadsheetml.customProperty"/>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24226"/>
  <mc:AlternateContent xmlns:mc="http://schemas.openxmlformats.org/markup-compatibility/2006">
    <mc:Choice Requires="x15">
      <x15ac:absPath xmlns:x15ac="http://schemas.microsoft.com/office/spreadsheetml/2010/11/ac" url="C:\Users\lfox\Downloads\"/>
    </mc:Choice>
  </mc:AlternateContent>
  <xr:revisionPtr revIDLastSave="0" documentId="8_{C662651B-8D2C-42FD-8C26-B308D778EF63}" xr6:coauthVersionLast="47" xr6:coauthVersionMax="47" xr10:uidLastSave="{00000000-0000-0000-0000-000000000000}"/>
  <bookViews>
    <workbookView xWindow="-110" yWindow="-110" windowWidth="19420" windowHeight="10300" xr2:uid="{00000000-000D-0000-FFFF-FFFF00000000}"/>
  </bookViews>
  <sheets>
    <sheet name="Disclaimer" sheetId="19" r:id="rId1"/>
    <sheet name="Instructions" sheetId="16" r:id="rId2"/>
    <sheet name="Input" sheetId="5" r:id="rId3"/>
    <sheet name="Calculations" sheetId="9" r:id="rId4"/>
    <sheet name="copyright_disclaimer" sheetId="15" state="hidden" r:id="rId5"/>
    <sheet name="Tax Calculator - Calculations" sheetId="21" r:id="rId6"/>
    <sheet name="Extension" sheetId="17" r:id="rId7"/>
    <sheet name="Tax Calculator - Extension" sheetId="22" r:id="rId8"/>
    <sheet name="Certificate of Tax Levy" sheetId="4" r:id="rId9"/>
    <sheet name="Truth in Taxation" sheetId="23" r:id="rId10"/>
    <sheet name="Explanation" sheetId="20" r:id="rId11"/>
    <sheet name="InfoPage" sheetId="3" state="hidden" r:id="rId12"/>
  </sheets>
  <definedNames>
    <definedName name="_Hlk137061978" localSheetId="1">Instructions!$A$24</definedName>
    <definedName name="_xlnm.Print_Area" localSheetId="3">Calculations!$A$1:$L$36</definedName>
    <definedName name="_xlnm.Print_Area" localSheetId="6">Extension!$A$1:$N$37</definedName>
    <definedName name="_xlnm.Print_Area" localSheetId="2">Input!$A$7:$H$71</definedName>
    <definedName name="_xlnm.Print_Area" localSheetId="9">'Truth in Taxation'!$A$1:$Q$51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10" i="17" l="1"/>
  <c r="D65" i="5" l="1"/>
  <c r="D8" i="23"/>
  <c r="D36" i="23"/>
  <c r="D33" i="23"/>
  <c r="D29" i="23"/>
  <c r="D25" i="23"/>
  <c r="D21" i="23"/>
  <c r="D17" i="23"/>
  <c r="M14" i="22"/>
  <c r="D30" i="23"/>
  <c r="D26" i="23"/>
  <c r="D13" i="23"/>
  <c r="T8" i="23" l="1"/>
  <c r="D9" i="23" s="1"/>
  <c r="D7" i="23"/>
  <c r="D5" i="23"/>
  <c r="I3" i="17"/>
  <c r="H8" i="9"/>
  <c r="I9" i="17" s="1"/>
  <c r="G8" i="9"/>
  <c r="C40" i="5"/>
  <c r="B38" i="5"/>
  <c r="B36" i="5"/>
  <c r="D34" i="5"/>
  <c r="B34" i="5"/>
  <c r="B32" i="5"/>
  <c r="I20" i="22"/>
  <c r="I20" i="21"/>
  <c r="Z8" i="22" l="1"/>
  <c r="Z9" i="22"/>
  <c r="Z7" i="22"/>
  <c r="A23" i="22" l="1"/>
  <c r="A10" i="22"/>
  <c r="A14" i="22"/>
  <c r="B9" i="22"/>
  <c r="A7" i="22"/>
  <c r="A25" i="22"/>
  <c r="A21" i="22"/>
  <c r="L18" i="22"/>
  <c r="A13" i="22"/>
  <c r="A12" i="22"/>
  <c r="N11" i="22"/>
  <c r="Y9" i="22"/>
  <c r="N10" i="22" s="1"/>
  <c r="L8" i="22"/>
  <c r="L6" i="22"/>
  <c r="A2" i="22"/>
  <c r="A21" i="21" l="1"/>
  <c r="A13" i="21"/>
  <c r="A12" i="21"/>
  <c r="L18" i="21"/>
  <c r="A14" i="21"/>
  <c r="A7" i="21"/>
  <c r="B9" i="21"/>
  <c r="A25" i="21"/>
  <c r="Y9" i="21"/>
  <c r="N10" i="21" s="1"/>
  <c r="L8" i="21"/>
  <c r="M14" i="21"/>
  <c r="L6" i="21"/>
  <c r="A2" i="21"/>
  <c r="N11" i="21"/>
  <c r="D28" i="5" l="1"/>
  <c r="H61" i="5" l="1"/>
  <c r="G61" i="5"/>
  <c r="F61" i="5"/>
  <c r="E61" i="5"/>
  <c r="B30" i="5"/>
  <c r="E48" i="5" l="1"/>
  <c r="F48" i="5"/>
  <c r="G48" i="5"/>
  <c r="H16" i="17"/>
  <c r="G16" i="17"/>
  <c r="G12" i="9"/>
  <c r="H14" i="17"/>
  <c r="A31" i="17"/>
  <c r="A27" i="9"/>
  <c r="I27" i="9"/>
  <c r="I16" i="17"/>
  <c r="J13" i="17"/>
  <c r="K21" i="9"/>
  <c r="K19" i="9"/>
  <c r="K18" i="9"/>
  <c r="D18" i="9"/>
  <c r="D19" i="9"/>
  <c r="A6" i="21"/>
  <c r="G5" i="9"/>
  <c r="F12" i="9" l="1"/>
  <c r="A28" i="17"/>
  <c r="H11" i="17"/>
  <c r="H10" i="17"/>
  <c r="H9" i="17"/>
  <c r="A9" i="22" s="1"/>
  <c r="H8" i="17"/>
  <c r="A6" i="22" s="1"/>
  <c r="H5" i="17"/>
  <c r="H4" i="17"/>
  <c r="H3" i="17"/>
  <c r="H2" i="17"/>
  <c r="D30" i="5"/>
  <c r="D48" i="5"/>
  <c r="G11" i="9"/>
  <c r="G10" i="9"/>
  <c r="G6" i="9"/>
  <c r="G3" i="9"/>
  <c r="D13" i="9"/>
  <c r="C67" i="5"/>
  <c r="C65" i="5"/>
  <c r="C61" i="5"/>
  <c r="B40" i="5"/>
  <c r="A10" i="21" s="1"/>
  <c r="A9" i="21"/>
  <c r="I42" i="4"/>
  <c r="G21" i="4"/>
  <c r="A49" i="5" l="1"/>
  <c r="A51" i="5"/>
  <c r="L31" i="17" l="1"/>
  <c r="L29" i="17" s="1"/>
  <c r="M29" i="17" s="1"/>
  <c r="H3" i="9" l="1"/>
  <c r="A2" i="17"/>
  <c r="C14" i="9"/>
  <c r="C15" i="9"/>
  <c r="C16" i="9"/>
  <c r="C17" i="9"/>
  <c r="C20" i="9"/>
  <c r="C22" i="9"/>
  <c r="C23" i="9"/>
  <c r="C24" i="9"/>
  <c r="H2" i="9"/>
  <c r="A2" i="9"/>
  <c r="C41" i="5"/>
  <c r="H5" i="9" s="1"/>
  <c r="B6" i="21" s="1"/>
  <c r="M8" i="21" s="1"/>
  <c r="M10" i="21" s="1"/>
  <c r="M11" i="21" s="1"/>
  <c r="M16" i="21" s="1"/>
  <c r="D49" i="5"/>
  <c r="D50" i="5"/>
  <c r="B15" i="9" s="1"/>
  <c r="D51" i="5"/>
  <c r="B16" i="9" s="1"/>
  <c r="D52" i="5"/>
  <c r="B17" i="9" s="1"/>
  <c r="D53" i="5"/>
  <c r="B18" i="9" s="1"/>
  <c r="D54" i="5"/>
  <c r="B19" i="9" s="1"/>
  <c r="D55" i="5"/>
  <c r="B20" i="9" s="1"/>
  <c r="D56" i="5"/>
  <c r="B21" i="9" s="1"/>
  <c r="D57" i="5"/>
  <c r="B22" i="9" s="1"/>
  <c r="D58" i="5"/>
  <c r="B23" i="9" s="1"/>
  <c r="A24" i="9"/>
  <c r="I41" i="4"/>
  <c r="D59" i="5"/>
  <c r="B24" i="9" s="1"/>
  <c r="D21" i="9"/>
  <c r="H48" i="5"/>
  <c r="G20" i="4"/>
  <c r="B31" i="9"/>
  <c r="B33" i="9"/>
  <c r="J31" i="9"/>
  <c r="B33" i="17" s="1"/>
  <c r="J33" i="9"/>
  <c r="B35" i="17" s="1"/>
  <c r="K12" i="4"/>
  <c r="J61" i="4" s="1"/>
  <c r="G12" i="4"/>
  <c r="H61" i="4" s="1"/>
  <c r="K56" i="4"/>
  <c r="I66" i="4"/>
  <c r="E45" i="4"/>
  <c r="H43" i="4"/>
  <c r="J63" i="4" s="1"/>
  <c r="C2" i="4"/>
  <c r="C3" i="4"/>
  <c r="A12" i="4"/>
  <c r="I8" i="17" l="1"/>
  <c r="I2" i="17"/>
  <c r="L62" i="4"/>
  <c r="H6" i="9"/>
  <c r="B7" i="21" s="1"/>
  <c r="B10" i="21" s="1"/>
  <c r="D17" i="9"/>
  <c r="D24" i="9"/>
  <c r="D16" i="9"/>
  <c r="D15" i="9"/>
  <c r="D20" i="9"/>
  <c r="D22" i="9"/>
  <c r="D23" i="9"/>
  <c r="D14" i="9"/>
  <c r="K33" i="9"/>
  <c r="K21" i="4"/>
  <c r="C42" i="4" s="1"/>
  <c r="H10" i="9"/>
  <c r="I4" i="17"/>
  <c r="I5" i="17"/>
  <c r="H11" i="9"/>
  <c r="D61" i="5"/>
  <c r="B14" i="9"/>
  <c r="B6" i="22" l="1"/>
  <c r="B7" i="22"/>
  <c r="B23" i="21"/>
  <c r="B14" i="21"/>
  <c r="B19" i="21"/>
  <c r="B12" i="22"/>
  <c r="D18" i="23"/>
  <c r="D34" i="23" s="1"/>
  <c r="M8" i="22"/>
  <c r="M10" i="22" s="1"/>
  <c r="M11" i="22" s="1"/>
  <c r="M16" i="22" s="1"/>
  <c r="B9" i="9"/>
  <c r="B10" i="9" s="1"/>
  <c r="B12" i="21"/>
  <c r="B21" i="21"/>
  <c r="B27" i="9"/>
  <c r="B36" i="9" s="1"/>
  <c r="B10" i="17"/>
  <c r="B11" i="17" s="1"/>
  <c r="C10" i="17"/>
  <c r="C11" i="17" s="1"/>
  <c r="D67" i="5"/>
  <c r="D27" i="9"/>
  <c r="J35" i="17" l="1"/>
  <c r="N35" i="17" s="1"/>
  <c r="B10" i="22"/>
  <c r="J33" i="17"/>
  <c r="N33" i="17" s="1"/>
  <c r="I11" i="17"/>
  <c r="B19" i="22"/>
  <c r="B14" i="22"/>
  <c r="B26" i="21"/>
  <c r="B26" i="22"/>
  <c r="F21" i="9"/>
  <c r="F19" i="9"/>
  <c r="F18" i="9"/>
  <c r="F17" i="9"/>
  <c r="F16" i="9"/>
  <c r="F22" i="9"/>
  <c r="F14" i="9"/>
  <c r="F20" i="9"/>
  <c r="F15" i="9"/>
  <c r="F24" i="9"/>
  <c r="F23" i="9"/>
  <c r="B23" i="22" l="1"/>
  <c r="B21" i="22"/>
  <c r="J19" i="9"/>
  <c r="J21" i="9"/>
  <c r="J20" i="9"/>
  <c r="K16" i="4" s="1"/>
  <c r="C35" i="4" s="1"/>
  <c r="J17" i="9"/>
  <c r="B21" i="17" s="1"/>
  <c r="E21" i="17" s="1"/>
  <c r="J16" i="9"/>
  <c r="B20" i="17" s="1"/>
  <c r="E20" i="17" s="1"/>
  <c r="J24" i="9"/>
  <c r="K20" i="4" s="1"/>
  <c r="C41" i="4" s="1"/>
  <c r="J23" i="9"/>
  <c r="J15" i="9"/>
  <c r="B19" i="17" s="1"/>
  <c r="E19" i="17" s="1"/>
  <c r="J14" i="9"/>
  <c r="J22" i="9"/>
  <c r="K18" i="4" s="1"/>
  <c r="C38" i="4" s="1"/>
  <c r="F27" i="9"/>
  <c r="K19" i="4" l="1"/>
  <c r="C39" i="4" s="1"/>
  <c r="B27" i="17"/>
  <c r="E27" i="17" s="1"/>
  <c r="F27" i="17" s="1"/>
  <c r="G27" i="17" s="1"/>
  <c r="H27" i="17" s="1"/>
  <c r="B18" i="17"/>
  <c r="E18" i="17" s="1"/>
  <c r="F18" i="17" s="1"/>
  <c r="G18" i="17" s="1"/>
  <c r="H18" i="17" s="1"/>
  <c r="K17" i="4"/>
  <c r="C37" i="4" s="1"/>
  <c r="B25" i="17"/>
  <c r="E25" i="17" s="1"/>
  <c r="F25" i="17" s="1"/>
  <c r="G25" i="17" s="1"/>
  <c r="H25" i="17" s="1"/>
  <c r="B23" i="17"/>
  <c r="E23" i="17" s="1"/>
  <c r="F23" i="17" s="1"/>
  <c r="G23" i="17" s="1"/>
  <c r="H23" i="17" s="1"/>
  <c r="D21" i="4"/>
  <c r="C34" i="4" s="1"/>
  <c r="G27" i="9"/>
  <c r="J18" i="9"/>
  <c r="K23" i="9"/>
  <c r="K20" i="9"/>
  <c r="K24" i="9"/>
  <c r="K22" i="9"/>
  <c r="K14" i="9"/>
  <c r="K15" i="9"/>
  <c r="K17" i="9"/>
  <c r="K16" i="9"/>
  <c r="D16" i="4"/>
  <c r="C29" i="4" s="1"/>
  <c r="D18" i="4"/>
  <c r="C31" i="4" s="1"/>
  <c r="D19" i="4"/>
  <c r="C32" i="4" s="1"/>
  <c r="D17" i="4"/>
  <c r="C30" i="4" s="1"/>
  <c r="B28" i="17"/>
  <c r="E28" i="17" s="1"/>
  <c r="F28" i="17" s="1"/>
  <c r="G28" i="17" s="1"/>
  <c r="H28" i="17" s="1"/>
  <c r="B26" i="17"/>
  <c r="E26" i="17" s="1"/>
  <c r="F26" i="17" s="1"/>
  <c r="G26" i="17" s="1"/>
  <c r="H26" i="17" s="1"/>
  <c r="B24" i="17"/>
  <c r="E24" i="17" s="1"/>
  <c r="F24" i="17" s="1"/>
  <c r="G24" i="17" s="1"/>
  <c r="H24" i="17" s="1"/>
  <c r="F20" i="17"/>
  <c r="G20" i="17" s="1"/>
  <c r="H20" i="17" s="1"/>
  <c r="F19" i="17"/>
  <c r="G19" i="17" s="1"/>
  <c r="H19" i="17" s="1"/>
  <c r="F21" i="17"/>
  <c r="G21" i="17" s="1"/>
  <c r="H21" i="17" s="1"/>
  <c r="J27" i="9" l="1"/>
  <c r="D20" i="4"/>
  <c r="C33" i="4" s="1"/>
  <c r="B22" i="17"/>
  <c r="E22" i="17" s="1"/>
  <c r="F22" i="17" s="1"/>
  <c r="G22" i="17" s="1"/>
  <c r="H22" i="17" s="1"/>
  <c r="J36" i="9" l="1"/>
  <c r="K36" i="9" s="1"/>
  <c r="D22" i="23"/>
  <c r="D37" i="23" s="1"/>
  <c r="B13" i="21"/>
  <c r="B25" i="21" s="1"/>
  <c r="M18" i="21" s="1"/>
  <c r="K27" i="9"/>
  <c r="L27" i="9" s="1"/>
  <c r="J29" i="9"/>
  <c r="I29" i="9" s="1"/>
  <c r="K22" i="4"/>
  <c r="F31" i="17"/>
  <c r="E31" i="17"/>
  <c r="B31" i="17"/>
  <c r="B37" i="17" s="1"/>
  <c r="G31" i="17"/>
  <c r="I13" i="17" s="1"/>
  <c r="H31" i="17"/>
  <c r="I23" i="17" l="1"/>
  <c r="J23" i="17" s="1"/>
  <c r="I18" i="17"/>
  <c r="J18" i="17" s="1"/>
  <c r="I19" i="17"/>
  <c r="J19" i="17" s="1"/>
  <c r="I21" i="17"/>
  <c r="J21" i="17" s="1"/>
  <c r="I28" i="17"/>
  <c r="J28" i="17" s="1"/>
  <c r="I20" i="17"/>
  <c r="J20" i="17" s="1"/>
  <c r="I27" i="17"/>
  <c r="J27" i="17" s="1"/>
  <c r="I25" i="17"/>
  <c r="J25" i="17" s="1"/>
  <c r="I26" i="17"/>
  <c r="J26" i="17" s="1"/>
  <c r="I24" i="17"/>
  <c r="J24" i="17" s="1"/>
  <c r="I22" i="17"/>
  <c r="J22" i="17" s="1"/>
  <c r="M18" i="17" l="1"/>
  <c r="N18" i="17" s="1"/>
  <c r="M22" i="17"/>
  <c r="N22" i="17" s="1"/>
  <c r="M24" i="17"/>
  <c r="N24" i="17" s="1"/>
  <c r="M20" i="17"/>
  <c r="N20" i="17" s="1"/>
  <c r="M21" i="17"/>
  <c r="N21" i="17" s="1"/>
  <c r="M28" i="17"/>
  <c r="N28" i="17" s="1"/>
  <c r="M19" i="17"/>
  <c r="N19" i="17" s="1"/>
  <c r="M23" i="17"/>
  <c r="N23" i="17" s="1"/>
  <c r="M25" i="17"/>
  <c r="N25" i="17" s="1"/>
  <c r="M26" i="17"/>
  <c r="N26" i="17" s="1"/>
  <c r="M27" i="17"/>
  <c r="N27" i="17" s="1"/>
  <c r="I31" i="17"/>
  <c r="I14" i="17" s="1"/>
  <c r="J14" i="17" s="1"/>
  <c r="J31" i="17" l="1"/>
  <c r="M31" i="17"/>
  <c r="N31" i="17"/>
  <c r="B13" i="22" s="1"/>
  <c r="I37" i="17"/>
  <c r="B25" i="22" l="1"/>
  <c r="M18" i="22" s="1"/>
  <c r="N37" i="17"/>
  <c r="J37" i="17"/>
  <c r="E22" i="23" l="1"/>
  <c r="E37" i="23"/>
</calcChain>
</file>

<file path=xl/sharedStrings.xml><?xml version="1.0" encoding="utf-8"?>
<sst xmlns="http://schemas.openxmlformats.org/spreadsheetml/2006/main" count="350" uniqueCount="248">
  <si>
    <t>$</t>
  </si>
  <si>
    <t>; and</t>
  </si>
  <si>
    <t>County</t>
  </si>
  <si>
    <t>ILLINOIS STATE BOARD OF EDUCATION</t>
  </si>
  <si>
    <t>School Business and Support Services Division</t>
  </si>
  <si>
    <t>CERTIFICATE OF TAX LEVY</t>
  </si>
  <si>
    <t>See explanation on reverse side.</t>
  </si>
  <si>
    <t>We hereby certify that we require:</t>
  </si>
  <si>
    <t>.</t>
  </si>
  <si>
    <t>(Detach and Return to School District)</t>
  </si>
  <si>
    <t>Password:</t>
  </si>
  <si>
    <t>CTL02</t>
  </si>
  <si>
    <t>,</t>
  </si>
  <si>
    <t>dollars to be levied as a special tax for educational purposes; and</t>
  </si>
  <si>
    <t xml:space="preserve">A copy of this Certificate of Tax Levy shall be filed with the County Clerk of each county in which the school district is located </t>
  </si>
  <si>
    <t>on or before the last Tuesday of December.</t>
  </si>
  <si>
    <t>District Name</t>
  </si>
  <si>
    <t>District Number</t>
  </si>
  <si>
    <t>Amount of Levy</t>
  </si>
  <si>
    <t>Educational</t>
  </si>
  <si>
    <t>Transportation</t>
  </si>
  <si>
    <t>Working Cash</t>
  </si>
  <si>
    <t>Municipal Retirement</t>
  </si>
  <si>
    <t>Social Security</t>
  </si>
  <si>
    <t>Tort Immunity</t>
  </si>
  <si>
    <t>Special Education</t>
  </si>
  <si>
    <t>Leasing</t>
  </si>
  <si>
    <t>Total Levy</t>
  </si>
  <si>
    <t xml:space="preserve">*  Includes Fire Prevention, Safety, Energy Conservation, Disabled Accessibility, School Security, </t>
  </si>
  <si>
    <t xml:space="preserve">   and Specified Repair Purposes.</t>
  </si>
  <si>
    <t xml:space="preserve">the sum of </t>
  </si>
  <si>
    <t>dollars to be levied as a special tax for operations and maintenance purposes; and</t>
  </si>
  <si>
    <t>dollars to be levied as a special tax for transportation purposes; and</t>
  </si>
  <si>
    <t>dollars to be levied as a special tax for municipal retirement purposes; and</t>
  </si>
  <si>
    <t>dollars to be levied as a special tax for a working cash fund; and</t>
  </si>
  <si>
    <t>dollars to be levied as a special tax for social security purposes; and</t>
  </si>
  <si>
    <t>dollars to be levied as a special tax for tort immunity purposes; and</t>
  </si>
  <si>
    <t>dollars to be levied as a special tax for special education purposes; and</t>
  </si>
  <si>
    <t xml:space="preserve">dollars to be levied as a special tax for leasing of educational facilities </t>
  </si>
  <si>
    <t>(President)</t>
  </si>
  <si>
    <t>(Clerk or Secretary of the School Board of Said School District)</t>
  </si>
  <si>
    <t>was filed in the office of the County Clerk of this County on</t>
  </si>
  <si>
    <t>(Signature of County Clerk)</t>
  </si>
  <si>
    <t>(County)</t>
  </si>
  <si>
    <t>(Date)</t>
  </si>
  <si>
    <t>dollars to be levied as a special tax for fire prevention, safety, energy conservation,</t>
  </si>
  <si>
    <t>disabled accessibility, school security and specified repair purposes; and</t>
  </si>
  <si>
    <t>Operations &amp; Maintenance</t>
  </si>
  <si>
    <t>Original:</t>
  </si>
  <si>
    <t>Amended:</t>
  </si>
  <si>
    <r>
      <t xml:space="preserve">Fire Prevention &amp; Safety  </t>
    </r>
    <r>
      <rPr>
        <b/>
        <sz val="9"/>
        <rFont val="Arial"/>
        <family val="2"/>
      </rPr>
      <t>*</t>
    </r>
  </si>
  <si>
    <t>the provisions set forth in the Truth in Taxation Law.</t>
  </si>
  <si>
    <t xml:space="preserve">dollars to be levied as a special tax for </t>
  </si>
  <si>
    <t xml:space="preserve">Signed this </t>
  </si>
  <si>
    <t>County,</t>
  </si>
  <si>
    <t>Number of bond issues of said school district that have not been paid in full</t>
  </si>
  <si>
    <t>This is to certify that the Certificate of Tax Levy for School District No.</t>
  </si>
  <si>
    <t>In addition to an extension of taxes authorized by levies made by the Board of Education (Directors), an additional extension(s)</t>
  </si>
  <si>
    <t xml:space="preserve">on the taxable property of our school district for the year </t>
  </si>
  <si>
    <t>day of</t>
  </si>
  <si>
    <t xml:space="preserve">Illinois, on the equalized assesed value of all taxable property of said school district for the year </t>
  </si>
  <si>
    <t>When any school is authorized to issue bonds, the school board shall file a certified copy of the resolution in the office of the county clerk of each county in which the district is</t>
  </si>
  <si>
    <t>situated to provide for the issuance of the bonds and to levy a tax to pay for them.  The county clerk shall extend the tax for bonds and interest as set forth in the certified copy</t>
  </si>
  <si>
    <t>of the resolution, each year during the life of the bond issue.  Therefore to avoid a possible duplication of tax levies, the school board should not include a levy for bonds and</t>
  </si>
  <si>
    <t>interest in the district's annual tax levy.</t>
  </si>
  <si>
    <t>, is</t>
  </si>
  <si>
    <t>The total levy, as provided in the original resolution(s), for said purposes for the year</t>
  </si>
  <si>
    <t>or computer technology or both, and temporary relocation expense purposes; and</t>
  </si>
  <si>
    <t xml:space="preserve">will be made, as authorized by resolution(s) on file in this office, to provide funds to retire bonds and pay interest thereon.  </t>
  </si>
  <si>
    <t>Note:     Any district proposing to adopt a levy must comply with</t>
  </si>
  <si>
    <t>LEVY INPUT PAGE - ASSUMPTIONS</t>
  </si>
  <si>
    <t>Fill out County names as needed - leave other boxes blank</t>
  </si>
  <si>
    <t>Enter "x" in one box only</t>
  </si>
  <si>
    <t>Limiting Rate:</t>
  </si>
  <si>
    <t>Truth in Taxation</t>
  </si>
  <si>
    <t xml:space="preserve">  Accessibility, School Security, and Specified Repair Purposes.</t>
  </si>
  <si>
    <t>*  Includes Fire Prevention, Safety, Energy Conservation, Disabled</t>
  </si>
  <si>
    <t>(Prior Year Extension x (1+Lesser of 5% or CPI))</t>
  </si>
  <si>
    <t>Yes</t>
  </si>
  <si>
    <t>No</t>
  </si>
  <si>
    <t>x</t>
  </si>
  <si>
    <t xml:space="preserve"> </t>
  </si>
  <si>
    <t>Follow these steps to view and set the macro security level in Excel 2010:</t>
  </si>
  <si>
    <r>
      <t>1.</t>
    </r>
    <r>
      <rPr>
        <b/>
        <sz val="12"/>
        <color indexed="63"/>
        <rFont val="Times New Roman"/>
        <family val="1"/>
      </rPr>
      <t xml:space="preserve">     </t>
    </r>
    <r>
      <rPr>
        <b/>
        <sz val="12"/>
        <color indexed="63"/>
        <rFont val="Arial"/>
        <family val="2"/>
      </rPr>
      <t>Click the File tab and then click Options.</t>
    </r>
  </si>
  <si>
    <r>
      <t>2.</t>
    </r>
    <r>
      <rPr>
        <sz val="12"/>
        <color indexed="63"/>
        <rFont val="Times New Roman"/>
        <family val="1"/>
      </rPr>
      <t xml:space="preserve">     </t>
    </r>
    <r>
      <rPr>
        <b/>
        <sz val="12"/>
        <color indexed="63"/>
        <rFont val="Arial"/>
        <family val="2"/>
      </rPr>
      <t>Click the Trust Center tab and then click the Trust Center Settings button.</t>
    </r>
  </si>
  <si>
    <t>The Trust Center dialog box appears with the Macro Settings tab selected.</t>
  </si>
  <si>
    <r>
      <t>Select a security level:</t>
    </r>
    <r>
      <rPr>
        <b/>
        <sz val="9"/>
        <color indexed="63"/>
        <rFont val="Arial"/>
        <family val="2"/>
      </rPr>
      <t xml:space="preserve"> Enable all macros</t>
    </r>
  </si>
  <si>
    <r>
      <t>3.</t>
    </r>
    <r>
      <rPr>
        <b/>
        <sz val="12"/>
        <color indexed="63"/>
        <rFont val="Times New Roman"/>
        <family val="1"/>
      </rPr>
      <t xml:space="preserve">     </t>
    </r>
    <r>
      <rPr>
        <b/>
        <sz val="12"/>
        <color indexed="63"/>
        <rFont val="Arial"/>
        <family val="2"/>
      </rPr>
      <t>Close the excel file, reopen the file.</t>
    </r>
  </si>
  <si>
    <t>Follow these steps to view and set the macro security level in Excel 2007:</t>
  </si>
  <si>
    <r>
      <t>2.</t>
    </r>
    <r>
      <rPr>
        <sz val="12"/>
        <color indexed="23"/>
        <rFont val="Times New Roman"/>
        <family val="1"/>
      </rPr>
      <t xml:space="preserve">         </t>
    </r>
    <r>
      <rPr>
        <sz val="12"/>
        <color indexed="23"/>
        <rFont val="Segoe UI"/>
        <family val="2"/>
      </rPr>
      <t xml:space="preserve">Click </t>
    </r>
    <r>
      <rPr>
        <b/>
        <sz val="12"/>
        <color indexed="23"/>
        <rFont val="Segoe UI"/>
        <family val="2"/>
      </rPr>
      <t>Trust Center</t>
    </r>
    <r>
      <rPr>
        <sz val="12"/>
        <color indexed="23"/>
        <rFont val="Segoe UI"/>
        <family val="2"/>
      </rPr>
      <t xml:space="preserve">, click </t>
    </r>
    <r>
      <rPr>
        <b/>
        <sz val="12"/>
        <color indexed="23"/>
        <rFont val="Segoe UI"/>
        <family val="2"/>
      </rPr>
      <t>Trust Center Settings</t>
    </r>
    <r>
      <rPr>
        <sz val="12"/>
        <color indexed="23"/>
        <rFont val="Segoe UI"/>
        <family val="2"/>
      </rPr>
      <t xml:space="preserve">, and then click </t>
    </r>
    <r>
      <rPr>
        <b/>
        <sz val="12"/>
        <color indexed="23"/>
        <rFont val="Segoe UI"/>
        <family val="2"/>
      </rPr>
      <t>Macro Settings</t>
    </r>
    <r>
      <rPr>
        <sz val="12"/>
        <color indexed="23"/>
        <rFont val="Segoe UI"/>
        <family val="2"/>
      </rPr>
      <t>.</t>
    </r>
  </si>
  <si>
    <r>
      <t>3.</t>
    </r>
    <r>
      <rPr>
        <sz val="12"/>
        <color indexed="23"/>
        <rFont val="Times New Roman"/>
        <family val="1"/>
      </rPr>
      <t xml:space="preserve">         </t>
    </r>
    <r>
      <rPr>
        <sz val="12"/>
        <color indexed="23"/>
        <rFont val="Segoe UI"/>
        <family val="2"/>
      </rPr>
      <t>Click the options that you want:</t>
    </r>
  </si>
  <si>
    <r>
      <t>·</t>
    </r>
    <r>
      <rPr>
        <sz val="12"/>
        <color indexed="23"/>
        <rFont val="Times New Roman"/>
        <family val="1"/>
      </rPr>
      <t xml:space="preserve">         </t>
    </r>
    <r>
      <rPr>
        <b/>
        <sz val="12"/>
        <color indexed="23"/>
        <rFont val="Segoe UI"/>
        <family val="2"/>
      </rPr>
      <t>Enable all macros (not recommended, potentially dangerous code can run)</t>
    </r>
  </si>
  <si>
    <r>
      <t>·</t>
    </r>
    <r>
      <rPr>
        <sz val="12"/>
        <color indexed="23"/>
        <rFont val="Times New Roman"/>
        <family val="1"/>
      </rPr>
      <t xml:space="preserve">         </t>
    </r>
    <r>
      <rPr>
        <sz val="12"/>
        <color indexed="23"/>
        <rFont val="Segoe UI"/>
        <family val="2"/>
      </rPr>
      <t>Disable all macros without notification</t>
    </r>
  </si>
  <si>
    <r>
      <t>·</t>
    </r>
    <r>
      <rPr>
        <sz val="12"/>
        <color indexed="23"/>
        <rFont val="Times New Roman"/>
        <family val="1"/>
      </rPr>
      <t xml:space="preserve">         </t>
    </r>
    <r>
      <rPr>
        <sz val="12"/>
        <color indexed="23"/>
        <rFont val="Segoe UI"/>
        <family val="2"/>
      </rPr>
      <t>Disable all macros with notification</t>
    </r>
  </si>
  <si>
    <r>
      <t>·</t>
    </r>
    <r>
      <rPr>
        <sz val="12"/>
        <color indexed="23"/>
        <rFont val="Times New Roman"/>
        <family val="1"/>
      </rPr>
      <t xml:space="preserve">         </t>
    </r>
    <r>
      <rPr>
        <sz val="12"/>
        <color indexed="23"/>
        <rFont val="Segoe UI"/>
        <family val="2"/>
      </rPr>
      <t>Disable all macros except digitally signed macros </t>
    </r>
  </si>
  <si>
    <r>
      <t>·</t>
    </r>
    <r>
      <rPr>
        <sz val="12"/>
        <color indexed="23"/>
        <rFont val="Times New Roman"/>
        <family val="1"/>
      </rPr>
      <t xml:space="preserve">         </t>
    </r>
    <r>
      <rPr>
        <sz val="12"/>
        <color indexed="23"/>
        <rFont val="Segoe UI"/>
        <family val="2"/>
      </rPr>
      <t>Trust access to the VBA project object model </t>
    </r>
  </si>
  <si>
    <r>
      <t>1.</t>
    </r>
    <r>
      <rPr>
        <sz val="12"/>
        <color indexed="23"/>
        <rFont val="Times New Roman"/>
        <family val="1"/>
      </rPr>
      <t xml:space="preserve">         </t>
    </r>
    <r>
      <rPr>
        <sz val="12"/>
        <color indexed="23"/>
        <rFont val="Segoe UI"/>
        <family val="2"/>
      </rPr>
      <t xml:space="preserve">Click the </t>
    </r>
    <r>
      <rPr>
        <b/>
        <sz val="12"/>
        <color indexed="23"/>
        <rFont val="Segoe UI"/>
        <family val="2"/>
      </rPr>
      <t>Microsoft Office Button           and then click Excel Options.</t>
    </r>
  </si>
  <si>
    <t xml:space="preserve">Please read the "Discalimer" worksheet.  Use of this workbook represents acceptance of the terms of the Disclaimer.  </t>
  </si>
  <si>
    <t>(Note:  This notice will not print with the rest of the page.)</t>
  </si>
  <si>
    <t xml:space="preserve"> This Includes Abatements for the Property Tax Relief Grant</t>
  </si>
  <si>
    <r>
      <t xml:space="preserve"> Include Abatements for Truth in Taxation </t>
    </r>
    <r>
      <rPr>
        <sz val="10"/>
        <rFont val="Times New Roman"/>
        <family val="1"/>
      </rPr>
      <t>(35 ILCS 200/18-70)</t>
    </r>
  </si>
  <si>
    <t>(Total EAV - New Property)</t>
  </si>
  <si>
    <t>District Assumptions &amp; Data Entry</t>
  </si>
  <si>
    <t>Calculated Values</t>
  </si>
  <si>
    <t>Legend</t>
  </si>
  <si>
    <t>Original Assumptions</t>
  </si>
  <si>
    <t xml:space="preserve"> Lake County Only</t>
  </si>
  <si>
    <t>Review Needed</t>
  </si>
  <si>
    <t xml:space="preserve"> Includes New Property</t>
  </si>
  <si>
    <t>Scenario Assumptions</t>
  </si>
  <si>
    <t xml:space="preserve">District Number </t>
  </si>
  <si>
    <t xml:space="preserve">District Name </t>
  </si>
  <si>
    <t xml:space="preserve">County 2 </t>
  </si>
  <si>
    <t xml:space="preserve">County 3 </t>
  </si>
  <si>
    <t xml:space="preserve">County 4 </t>
  </si>
  <si>
    <t xml:space="preserve">PTELL - Tax Capped </t>
  </si>
  <si>
    <t xml:space="preserve">Original Tax Levy Certificate </t>
  </si>
  <si>
    <t xml:space="preserve">Amended Tax Levy Certificate </t>
  </si>
  <si>
    <t xml:space="preserve">Consumer Price Index </t>
  </si>
  <si>
    <t xml:space="preserve">Total % Change From Prior Year </t>
  </si>
  <si>
    <t xml:space="preserve">No. of Tax Levied Bond Issues Outstanding </t>
  </si>
  <si>
    <t xml:space="preserve">Tax Levy Year </t>
  </si>
  <si>
    <t xml:space="preserve">Educational </t>
  </si>
  <si>
    <t xml:space="preserve">Operations &amp; Maintenance </t>
  </si>
  <si>
    <t xml:space="preserve">Transportation </t>
  </si>
  <si>
    <t xml:space="preserve">Working Cash </t>
  </si>
  <si>
    <t xml:space="preserve">Municipal Retirement </t>
  </si>
  <si>
    <t xml:space="preserve">Social Security </t>
  </si>
  <si>
    <t xml:space="preserve">Fire Prevention &amp; Safety * </t>
  </si>
  <si>
    <t xml:space="preserve">Tort Immunity </t>
  </si>
  <si>
    <t xml:space="preserve">Special Education </t>
  </si>
  <si>
    <t xml:space="preserve">Leasing </t>
  </si>
  <si>
    <t xml:space="preserve">Custom Fund Name </t>
  </si>
  <si>
    <t>Prior Year Extension</t>
  </si>
  <si>
    <t xml:space="preserve">Limiting Rate </t>
  </si>
  <si>
    <t xml:space="preserve">Estimated Capped Extension </t>
  </si>
  <si>
    <t xml:space="preserve">Estimated SEDOL IMRF Levy </t>
  </si>
  <si>
    <t xml:space="preserve">Estimated Bond and Interest Levy </t>
  </si>
  <si>
    <t xml:space="preserve">Total Levy </t>
  </si>
  <si>
    <t xml:space="preserve">Aggregate or County 1 </t>
  </si>
  <si>
    <r>
      <rPr>
        <b/>
        <u/>
        <sz val="10"/>
        <rFont val="Times New Roman"/>
        <family val="1"/>
      </rPr>
      <t>Critical Assumptions</t>
    </r>
    <r>
      <rPr>
        <b/>
        <sz val="10"/>
        <rFont val="Times New Roman"/>
        <family val="1"/>
      </rPr>
      <t xml:space="preserve"> - Formulas in this workbook are dependent on assumptions entered for PTELL &amp; Cook County questions</t>
    </r>
  </si>
  <si>
    <t xml:space="preserve">Cook County Prior Year EAV Limit </t>
  </si>
  <si>
    <t xml:space="preserve"> Enter District Name</t>
  </si>
  <si>
    <t xml:space="preserve"> Enter District Number</t>
  </si>
  <si>
    <t xml:space="preserve"> Choose Yes or No</t>
  </si>
  <si>
    <t xml:space="preserve"> Enter Estimated New Property</t>
  </si>
  <si>
    <t xml:space="preserve"> Flow-through to Certificate of Tax Levy, Verify Records with County Clerk(s)</t>
  </si>
  <si>
    <t xml:space="preserve"> Enter What If...? Existing EAV Assumption or, Final Actual to Stress Test the Levy</t>
  </si>
  <si>
    <t xml:space="preserve"> Enter What If...? New Property Assumption or, Final Actual to Stress Test the Levy</t>
  </si>
  <si>
    <t xml:space="preserve">Capped Extension </t>
  </si>
  <si>
    <t xml:space="preserve">Reduction Factor </t>
  </si>
  <si>
    <t xml:space="preserve"> Does This Levy Capture All Available Property Taxes Under These Assumptions?</t>
  </si>
  <si>
    <t>County Loss %</t>
  </si>
  <si>
    <t>Final Tax Rate</t>
  </si>
  <si>
    <t>Spring Extension Adjustment Between Funds</t>
  </si>
  <si>
    <t>Final Adjusted Extension</t>
  </si>
  <si>
    <t>Final Adjusted Tax Rate</t>
  </si>
  <si>
    <t xml:space="preserve"> (Lake County Only, Included in Truth in Taxation Calculation)</t>
  </si>
  <si>
    <t>(County Clerk Levies Bond &amp; Interest for the District, Verify Records with County Clerk)</t>
  </si>
  <si>
    <t>Total Levy with County Loss %</t>
  </si>
  <si>
    <t xml:space="preserve"> Enter County 2 Name to Itemize County Extension Below</t>
  </si>
  <si>
    <t xml:space="preserve"> Enter County 4 Name to Itemize County Extension Below</t>
  </si>
  <si>
    <t xml:space="preserve"> Enter County 3 Name to Itemize County Extension Below</t>
  </si>
  <si>
    <t xml:space="preserve"> Enter County 1 Name or Enter "Aggregate" to enter Aggregate Extension Below</t>
  </si>
  <si>
    <t xml:space="preserve">Input Statutory Maximum Tax Rate </t>
  </si>
  <si>
    <t>Statutory Maximum Tax Rate</t>
  </si>
  <si>
    <t>Truth in Taxation Required</t>
  </si>
  <si>
    <r>
      <t xml:space="preserve">SEDOL IMRF </t>
    </r>
    <r>
      <rPr>
        <b/>
        <sz val="10"/>
        <rFont val="Times New Roman"/>
        <family val="1"/>
      </rPr>
      <t xml:space="preserve">(Lake County Only) </t>
    </r>
  </si>
  <si>
    <t>Does Levy Amount Exceed Estimated Maximum Extension?</t>
  </si>
  <si>
    <t>Scenario Calculated Tax Rate</t>
  </si>
  <si>
    <t xml:space="preserve">Bond &amp; Interest Extension </t>
  </si>
  <si>
    <t xml:space="preserve">Total Extension </t>
  </si>
  <si>
    <t>Actual Total Extension/Rate</t>
  </si>
  <si>
    <t xml:space="preserve">Bond &amp; Interest Levy </t>
  </si>
  <si>
    <t>Current Levy Amount</t>
  </si>
  <si>
    <t xml:space="preserve">Actual Bond &amp; Interest Extension/Rate </t>
  </si>
  <si>
    <t xml:space="preserve">Bond &amp; Int. Levy </t>
  </si>
  <si>
    <t>SEDOL IMRF Levy</t>
  </si>
  <si>
    <t xml:space="preserve">SEDOL IMRF Levy </t>
  </si>
  <si>
    <t xml:space="preserve">SEDOL IMRF Extension </t>
  </si>
  <si>
    <t>Scenario Actual</t>
  </si>
  <si>
    <t xml:space="preserve">Actual SEDOL IMRF Extension/Rate </t>
  </si>
  <si>
    <t>Levy Increase %</t>
  </si>
  <si>
    <t xml:space="preserve">Final Levy Amount </t>
  </si>
  <si>
    <t>[Day]</t>
  </si>
  <si>
    <t>[Month]</t>
  </si>
  <si>
    <t xml:space="preserve">Lesser of 5% or Consumer Price Index </t>
  </si>
  <si>
    <t>Note, do not include the amount of PTAB revenue recapture added to the extension pursuant to Public Act 102-0519.</t>
  </si>
  <si>
    <t>DuPage</t>
  </si>
  <si>
    <t>Bond &amp; Interest Abatement</t>
  </si>
  <si>
    <t>Total Assessed Value</t>
  </si>
  <si>
    <t>State Equalization Multiplier</t>
  </si>
  <si>
    <t>Bond &amp; Interest Lost Cost (%)</t>
  </si>
  <si>
    <t>Cook</t>
  </si>
  <si>
    <t>Lake</t>
  </si>
  <si>
    <t>McHenry</t>
  </si>
  <si>
    <t>Kane</t>
  </si>
  <si>
    <t>Will</t>
  </si>
  <si>
    <t>Taxpayer Impact</t>
  </si>
  <si>
    <t>Net Equalized Assessed Value</t>
  </si>
  <si>
    <t>Total Prior Year's Tax Rate</t>
  </si>
  <si>
    <t>Includes EAV % Change</t>
  </si>
  <si>
    <t>Bond &amp; Interest Rate Abatement</t>
  </si>
  <si>
    <t>Cannot exceed estimated B&amp;I Tax Rate</t>
  </si>
  <si>
    <t xml:space="preserve">Enter debt service to be abated </t>
  </si>
  <si>
    <t>Estimated SEDOL IMRF Rate</t>
  </si>
  <si>
    <t>Lake County only</t>
  </si>
  <si>
    <t>Note, if the B&amp;I levy on the "Calculations" tab was reduced by an expected abatement, it will need to be removed to prevent double counting the abatement.</t>
  </si>
  <si>
    <t xml:space="preserve"> Includes Loss Cost</t>
  </si>
  <si>
    <t>Based on County 1 on the input tab</t>
  </si>
  <si>
    <t>Original Assumptions from Calculations Tab</t>
  </si>
  <si>
    <t>LY22</t>
  </si>
  <si>
    <t>Scenario Assumptions from Extension Tab</t>
  </si>
  <si>
    <t>(217) 785-8779</t>
  </si>
  <si>
    <t>Includes Loss % Added by County Clerk(s)</t>
  </si>
  <si>
    <t>If the actual Bond &amp; Interest extension is known and input on the "Extension" tab in cell I35, no input is needed for the Loss Cost and Abatement cells.</t>
  </si>
  <si>
    <t>If you have a question, please contact any member of our municipal advisory team listed below:</t>
  </si>
  <si>
    <t>Steve Adams:</t>
  </si>
  <si>
    <t>Bob Lewis:</t>
  </si>
  <si>
    <t>Tammie Schallmo:</t>
  </si>
  <si>
    <t xml:space="preserve"> If entering a dollar amount for EAV, please select "Yes," if growth %, please select "No"</t>
  </si>
  <si>
    <t>Triennial Reassessment Cycle</t>
  </si>
  <si>
    <t>North Suburbs - 2025</t>
  </si>
  <si>
    <t>South &amp; West Suburbs - 2026</t>
  </si>
  <si>
    <t>It does not include the recapture levy or property taxes paid for other District purposes and to other governments. Actual tax rates and payments may vary based on District-wide EAV growth, individual homeowner reassessment, State Law changes, property tax rate initiatives and other factors.</t>
  </si>
  <si>
    <t>NOTICE OF PROPOSED PROPERTY TAX INCREASE FOR</t>
  </si>
  <si>
    <t>District Information</t>
  </si>
  <si>
    <t>I.</t>
  </si>
  <si>
    <t>District Name:</t>
  </si>
  <si>
    <t>Hearing Date:</t>
  </si>
  <si>
    <t>Hearing Address:</t>
  </si>
  <si>
    <t>Hearing Municipality:</t>
  </si>
  <si>
    <t>Any person desiring to appear at the public hearing and present testimony to the taxing</t>
  </si>
  <si>
    <t>Hearing Zip Code:</t>
  </si>
  <si>
    <t>District contact name:</t>
  </si>
  <si>
    <t>District contact email address:</t>
  </si>
  <si>
    <t>II.</t>
  </si>
  <si>
    <t>III.</t>
  </si>
  <si>
    <t>IV.</t>
  </si>
  <si>
    <t>Homestead Exemption</t>
  </si>
  <si>
    <t>*Please use an apostrophe (') in front of the Hearing Time.</t>
  </si>
  <si>
    <t>Hearing Time*:</t>
  </si>
  <si>
    <t>City of Chicago - 2027</t>
  </si>
  <si>
    <t>Original   Estimate</t>
  </si>
  <si>
    <t>ISBE Form 50-02 (07-2024) CTL2024.xlsx</t>
  </si>
  <si>
    <t>robert.lewis@ptma.com</t>
  </si>
  <si>
    <t>tammie.beckwithschallmo@ptma.com</t>
  </si>
  <si>
    <t>steve.adams@ptma.com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</si>
</sst>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7" formatCode="&quot;$&quot;#,##0.00_);\(&quot;$&quot;#,##0.00\)"/>
    <numFmt numFmtId="43" formatCode="_(* #,##0.00_);_(* \(#,##0.00\);_(* &quot;-&quot;??_);_(@_)"/>
    <numFmt numFmtId="164" formatCode="&quot;$&quot;#,##0"/>
    <numFmt numFmtId="165" formatCode="0#\-###\-####\-##"/>
    <numFmt numFmtId="166" formatCode="[$$-409]#,##0.00_);[Red]\([$$-409]#,##0.00\)"/>
    <numFmt numFmtId="167" formatCode="0.000%"/>
    <numFmt numFmtId="168" formatCode="[$$-409]#,##0.00_);\([$$-409]#,##0.00\)"/>
    <numFmt numFmtId="169" formatCode="[$$-409]#,##0_);[Red]\([$$-409]#,##0\)"/>
    <numFmt numFmtId="170" formatCode="0.0000%"/>
    <numFmt numFmtId="171" formatCode="0.0000"/>
    <numFmt numFmtId="172" formatCode="[$$-409]#,##0.0000_);[Red]\([$$-409]#,##0.0000\)"/>
    <numFmt numFmtId="173" formatCode="0.0%"/>
    <numFmt numFmtId="174" formatCode="[$-F800]dddd\,\ mmmm\ dd\,\ yyyy"/>
    <numFmt numFmtId="175" formatCode="[$-F400]h:mm:ss\ AM/PM"/>
    <numFmt numFmtId="176" formatCode="_(&quot;$&quot;* #,##0_);_(&quot;$&quot;* \(#,##0\);_(&quot;$&quot;* &quot;-&quot;??_);_(@_)"/>
    <numFmt numFmtId="177" formatCode="&quot;. This represents a&quot;\ 0.00%\ &quot;increase over the previous year&quot;"/>
  </numFmts>
  <fonts count="65" x14ac:knownFonts="1">
    <font>
      <sz val="10"/>
      <name val="Arial"/>
    </font>
    <font>
      <sz val="10"/>
      <name val="Arial"/>
      <family val="2"/>
    </font>
    <font>
      <sz val="10"/>
      <name val="Arial"/>
      <family val="2"/>
    </font>
    <font>
      <b/>
      <sz val="10"/>
      <name val="Arial"/>
      <family val="2"/>
    </font>
    <font>
      <b/>
      <sz val="12"/>
      <name val="Arial"/>
      <family val="2"/>
    </font>
    <font>
      <b/>
      <sz val="8"/>
      <name val="Arial"/>
      <family val="2"/>
    </font>
    <font>
      <b/>
      <sz val="9"/>
      <name val="Arial"/>
      <family val="2"/>
    </font>
    <font>
      <sz val="9"/>
      <name val="Arial"/>
      <family val="2"/>
    </font>
    <font>
      <i/>
      <sz val="8"/>
      <name val="Arial"/>
      <family val="2"/>
    </font>
    <font>
      <b/>
      <i/>
      <sz val="8"/>
      <name val="Arial"/>
      <family val="2"/>
    </font>
    <font>
      <sz val="8"/>
      <name val="Arial"/>
      <family val="2"/>
    </font>
    <font>
      <sz val="7"/>
      <name val="Arial"/>
      <family val="2"/>
    </font>
    <font>
      <i/>
      <sz val="10"/>
      <name val="Arial"/>
      <family val="2"/>
    </font>
    <font>
      <b/>
      <sz val="11"/>
      <name val="Arial"/>
      <family val="2"/>
    </font>
    <font>
      <sz val="8"/>
      <name val="Arial"/>
      <family val="2"/>
    </font>
    <font>
      <sz val="7"/>
      <name val="Arial"/>
      <family val="2"/>
    </font>
    <font>
      <sz val="10"/>
      <name val="Times New Roman"/>
      <family val="1"/>
    </font>
    <font>
      <b/>
      <sz val="12"/>
      <name val="Times New Roman"/>
      <family val="1"/>
    </font>
    <font>
      <b/>
      <sz val="14"/>
      <name val="Times New Roman"/>
      <family val="1"/>
    </font>
    <font>
      <i/>
      <sz val="10"/>
      <name val="Times New Roman"/>
      <family val="1"/>
    </font>
    <font>
      <b/>
      <sz val="10"/>
      <color indexed="10"/>
      <name val="Times New Roman"/>
      <family val="1"/>
    </font>
    <font>
      <b/>
      <sz val="10"/>
      <name val="Times New Roman"/>
      <family val="1"/>
    </font>
    <font>
      <b/>
      <u/>
      <sz val="12"/>
      <name val="Times New Roman"/>
      <family val="1"/>
    </font>
    <font>
      <b/>
      <sz val="12"/>
      <color indexed="10"/>
      <name val="Times New Roman"/>
      <family val="1"/>
    </font>
    <font>
      <sz val="8"/>
      <name val="Times New Roman"/>
      <family val="1"/>
    </font>
    <font>
      <b/>
      <sz val="12"/>
      <color indexed="63"/>
      <name val="Arial"/>
      <family val="2"/>
    </font>
    <font>
      <b/>
      <sz val="12"/>
      <color indexed="63"/>
      <name val="Times New Roman"/>
      <family val="1"/>
    </font>
    <font>
      <sz val="12"/>
      <name val="Arial"/>
      <family val="2"/>
    </font>
    <font>
      <b/>
      <sz val="9"/>
      <color indexed="63"/>
      <name val="Arial"/>
      <family val="2"/>
    </font>
    <font>
      <sz val="11"/>
      <name val="Calibri"/>
      <family val="2"/>
    </font>
    <font>
      <sz val="12"/>
      <color indexed="63"/>
      <name val="Times New Roman"/>
      <family val="1"/>
    </font>
    <font>
      <sz val="12"/>
      <color indexed="23"/>
      <name val="Segoe UI"/>
      <family val="2"/>
    </font>
    <font>
      <sz val="12"/>
      <color indexed="23"/>
      <name val="Times New Roman"/>
      <family val="1"/>
    </font>
    <font>
      <b/>
      <sz val="12"/>
      <color indexed="23"/>
      <name val="Segoe UI"/>
      <family val="2"/>
    </font>
    <font>
      <sz val="14"/>
      <name val="Arial"/>
      <family val="2"/>
    </font>
    <font>
      <b/>
      <sz val="14"/>
      <name val="Arial"/>
      <family val="2"/>
    </font>
    <font>
      <b/>
      <sz val="12"/>
      <color rgb="FF333333"/>
      <name val="Arial"/>
      <family val="2"/>
    </font>
    <font>
      <sz val="9"/>
      <color rgb="FF333333"/>
      <name val="Arial"/>
      <family val="2"/>
    </font>
    <font>
      <b/>
      <sz val="9"/>
      <color rgb="FF333333"/>
      <name val="Arial"/>
      <family val="2"/>
    </font>
    <font>
      <sz val="12"/>
      <color rgb="FF333333"/>
      <name val="Arial"/>
      <family val="2"/>
    </font>
    <font>
      <sz val="7"/>
      <color rgb="FF454545"/>
      <name val="Segoe UI"/>
      <family val="2"/>
    </font>
    <font>
      <sz val="12"/>
      <color rgb="FF666666"/>
      <name val="Segoe UI"/>
      <family val="2"/>
    </font>
    <font>
      <sz val="12"/>
      <color rgb="FF666666"/>
      <name val="Symbol"/>
      <family val="1"/>
      <charset val="2"/>
    </font>
    <font>
      <b/>
      <sz val="14"/>
      <color rgb="FF333333"/>
      <name val="Arial"/>
      <family val="2"/>
    </font>
    <font>
      <b/>
      <sz val="12"/>
      <color theme="0"/>
      <name val="Times New Roman"/>
      <family val="1"/>
    </font>
    <font>
      <sz val="10"/>
      <color theme="0"/>
      <name val="Times New Roman"/>
      <family val="1"/>
    </font>
    <font>
      <i/>
      <sz val="9"/>
      <name val="Times New Roman"/>
      <family val="1"/>
    </font>
    <font>
      <b/>
      <sz val="8"/>
      <name val="Times New Roman"/>
      <family val="1"/>
    </font>
    <font>
      <b/>
      <u/>
      <sz val="10"/>
      <name val="Times New Roman"/>
      <family val="1"/>
    </font>
    <font>
      <b/>
      <sz val="10"/>
      <color theme="1"/>
      <name val="Times New Roman"/>
      <family val="1"/>
    </font>
    <font>
      <sz val="10"/>
      <color theme="1"/>
      <name val="Times New Roman"/>
      <family val="1"/>
    </font>
    <font>
      <sz val="9"/>
      <color rgb="FF474747"/>
      <name val="Arial"/>
      <family val="2"/>
    </font>
    <font>
      <sz val="10"/>
      <color theme="1" tint="0.34998626667073579"/>
      <name val="Arial"/>
      <family val="2"/>
    </font>
    <font>
      <sz val="8"/>
      <name val="Arial"/>
      <family val="2"/>
    </font>
    <font>
      <sz val="9"/>
      <name val="Times New Roman"/>
      <family val="1"/>
    </font>
    <font>
      <sz val="10"/>
      <color theme="0" tint="-4.9989318521683403E-2"/>
      <name val="Times New Roman"/>
      <family val="1"/>
    </font>
    <font>
      <u/>
      <sz val="10"/>
      <color theme="10"/>
      <name val="Arial"/>
      <family val="2"/>
    </font>
    <font>
      <u/>
      <sz val="10"/>
      <color theme="0"/>
      <name val="Times New Roman"/>
      <family val="1"/>
    </font>
    <font>
      <sz val="12"/>
      <name val="Times New Roman"/>
      <family val="1"/>
    </font>
    <font>
      <sz val="12"/>
      <color theme="0"/>
      <name val="Times New Roman"/>
      <family val="1"/>
    </font>
    <font>
      <b/>
      <i/>
      <sz val="12"/>
      <name val="Times New Roman"/>
      <family val="1"/>
    </font>
    <font>
      <u/>
      <sz val="12"/>
      <color theme="10"/>
      <name val="Times New Roman"/>
      <family val="1"/>
    </font>
    <font>
      <sz val="11"/>
      <name val="Times New Roman"/>
      <family val="1"/>
    </font>
    <font>
      <u/>
      <sz val="11"/>
      <name val="Times New Roman"/>
      <family val="1"/>
    </font>
    <font>
      <b/>
      <sz val="11"/>
      <name val="Times New Roman"/>
      <family val="1"/>
    </font>
  </fonts>
  <fills count="11">
    <fill>
      <patternFill patternType="none"/>
    </fill>
    <fill>
      <patternFill patternType="gray125"/>
    </fill>
    <fill>
      <patternFill patternType="solid">
        <fgColor indexed="8"/>
        <bgColor indexed="64"/>
      </patternFill>
    </fill>
    <fill>
      <patternFill patternType="solid">
        <fgColor indexed="42"/>
        <bgColor indexed="64"/>
      </patternFill>
    </fill>
    <fill>
      <patternFill patternType="solid">
        <fgColor theme="0"/>
        <bgColor indexed="64"/>
      </patternFill>
    </fill>
    <fill>
      <patternFill patternType="solid">
        <fgColor rgb="FFCCFFCC"/>
        <bgColor indexed="64"/>
      </patternFill>
    </fill>
    <fill>
      <patternFill patternType="solid">
        <fgColor theme="1"/>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rgb="FFDCE6F1"/>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top style="medium">
        <color indexed="64"/>
      </top>
      <bottom style="dashed">
        <color indexed="64"/>
      </bottom>
      <diagonal/>
    </border>
    <border>
      <left/>
      <right/>
      <top style="medium">
        <color indexed="64"/>
      </top>
      <bottom style="dotted">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s>
  <cellStyleXfs count="5">
    <xf numFmtId="0" fontId="0"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0" fontId="56" fillId="0" borderId="0" applyNumberFormat="0" applyFill="0" applyBorder="0" applyAlignment="0" applyProtection="0"/>
  </cellStyleXfs>
  <cellXfs count="334">
    <xf numFmtId="0" fontId="0" fillId="0" borderId="0" xfId="0"/>
    <xf numFmtId="0" fontId="16" fillId="0" borderId="0" xfId="0" applyFont="1" applyProtection="1">
      <protection hidden="1"/>
    </xf>
    <xf numFmtId="0" fontId="17" fillId="0" borderId="0" xfId="0" applyFont="1" applyAlignment="1" applyProtection="1">
      <alignment horizontal="right"/>
      <protection hidden="1"/>
    </xf>
    <xf numFmtId="0" fontId="16" fillId="0" borderId="0" xfId="0" applyFont="1" applyAlignment="1" applyProtection="1">
      <alignment horizontal="right"/>
      <protection hidden="1"/>
    </xf>
    <xf numFmtId="166" fontId="16" fillId="0" borderId="0" xfId="0" applyNumberFormat="1" applyFont="1" applyProtection="1">
      <protection hidden="1"/>
    </xf>
    <xf numFmtId="166" fontId="17" fillId="0" borderId="0" xfId="0" applyNumberFormat="1" applyFont="1" applyProtection="1">
      <protection hidden="1"/>
    </xf>
    <xf numFmtId="0" fontId="17" fillId="0" borderId="0" xfId="0" applyFont="1" applyAlignment="1" applyProtection="1">
      <alignment horizontal="right" vertical="center"/>
      <protection hidden="1"/>
    </xf>
    <xf numFmtId="167" fontId="17" fillId="0" borderId="0" xfId="2" applyNumberFormat="1" applyFont="1" applyBorder="1" applyAlignment="1" applyProtection="1">
      <alignment horizontal="center"/>
      <protection hidden="1"/>
    </xf>
    <xf numFmtId="166" fontId="17" fillId="0" borderId="0" xfId="0" applyNumberFormat="1" applyFont="1" applyAlignment="1" applyProtection="1">
      <alignment horizontal="center"/>
      <protection hidden="1"/>
    </xf>
    <xf numFmtId="0" fontId="21" fillId="0" borderId="0" xfId="0" applyFont="1" applyAlignment="1" applyProtection="1">
      <alignment horizontal="center" wrapText="1"/>
      <protection hidden="1"/>
    </xf>
    <xf numFmtId="0" fontId="21" fillId="0" borderId="0" xfId="0" applyFont="1" applyAlignment="1" applyProtection="1">
      <alignment horizontal="center"/>
      <protection hidden="1"/>
    </xf>
    <xf numFmtId="166" fontId="16" fillId="0" borderId="2" xfId="0" applyNumberFormat="1" applyFont="1" applyBorder="1" applyProtection="1">
      <protection hidden="1"/>
    </xf>
    <xf numFmtId="166" fontId="17" fillId="0" borderId="3" xfId="0" applyNumberFormat="1" applyFont="1" applyBorder="1" applyProtection="1">
      <protection hidden="1"/>
    </xf>
    <xf numFmtId="0" fontId="0" fillId="0" borderId="0" xfId="0" applyProtection="1">
      <protection hidden="1"/>
    </xf>
    <xf numFmtId="49" fontId="7" fillId="0" borderId="0" xfId="0" applyNumberFormat="1" applyFont="1" applyAlignment="1" applyProtection="1">
      <alignment horizontal="center" vertical="center"/>
      <protection hidden="1"/>
    </xf>
    <xf numFmtId="0" fontId="3" fillId="0" borderId="0" xfId="0" applyFont="1" applyAlignment="1" applyProtection="1">
      <alignment horizontal="left" vertical="center" indent="3"/>
      <protection hidden="1"/>
    </xf>
    <xf numFmtId="0" fontId="7" fillId="0" borderId="0" xfId="0" applyFont="1" applyAlignment="1" applyProtection="1">
      <alignment horizontal="left" vertical="center" indent="1"/>
      <protection hidden="1"/>
    </xf>
    <xf numFmtId="0" fontId="0" fillId="0" borderId="1" xfId="0" applyBorder="1" applyAlignment="1" applyProtection="1">
      <alignment horizontal="center" vertical="center"/>
      <protection hidden="1"/>
    </xf>
    <xf numFmtId="0" fontId="10" fillId="0" borderId="0" xfId="0" applyFont="1" applyAlignment="1" applyProtection="1">
      <alignment horizontal="left" vertical="center" indent="4"/>
      <protection hidden="1"/>
    </xf>
    <xf numFmtId="0" fontId="10" fillId="0" borderId="0" xfId="0" applyFont="1" applyAlignment="1" applyProtection="1">
      <alignment horizontal="left" vertical="center" indent="2"/>
      <protection hidden="1"/>
    </xf>
    <xf numFmtId="0" fontId="10" fillId="0" borderId="0" xfId="0" applyFont="1" applyAlignment="1" applyProtection="1">
      <alignment horizontal="left" vertical="center"/>
      <protection hidden="1"/>
    </xf>
    <xf numFmtId="0" fontId="7" fillId="0" borderId="0" xfId="0" applyFont="1" applyAlignment="1" applyProtection="1">
      <alignment horizontal="left" vertical="center"/>
      <protection hidden="1"/>
    </xf>
    <xf numFmtId="0" fontId="10" fillId="0" borderId="0" xfId="0" applyFont="1" applyAlignment="1" applyProtection="1">
      <alignment horizontal="left" vertical="center" indent="3"/>
      <protection hidden="1"/>
    </xf>
    <xf numFmtId="0" fontId="10" fillId="0" borderId="0" xfId="0" applyFont="1" applyAlignment="1" applyProtection="1">
      <alignment horizontal="left" indent="1"/>
      <protection hidden="1"/>
    </xf>
    <xf numFmtId="0" fontId="10" fillId="0" borderId="0" xfId="0" applyFont="1" applyAlignment="1" applyProtection="1">
      <alignment horizontal="center" vertical="center"/>
      <protection hidden="1"/>
    </xf>
    <xf numFmtId="0" fontId="9" fillId="0" borderId="0" xfId="0" applyFont="1" applyProtection="1">
      <protection hidden="1"/>
    </xf>
    <xf numFmtId="0" fontId="10" fillId="0" borderId="6" xfId="0" applyFont="1" applyBorder="1" applyProtection="1">
      <protection hidden="1"/>
    </xf>
    <xf numFmtId="0" fontId="0" fillId="0" borderId="7" xfId="0" applyBorder="1" applyProtection="1">
      <protection hidden="1"/>
    </xf>
    <xf numFmtId="0" fontId="0" fillId="0" borderId="8" xfId="0" applyBorder="1" applyProtection="1">
      <protection hidden="1"/>
    </xf>
    <xf numFmtId="0" fontId="0" fillId="0" borderId="9" xfId="0" applyBorder="1" applyAlignment="1" applyProtection="1">
      <alignment horizontal="center" vertical="center"/>
      <protection hidden="1"/>
    </xf>
    <xf numFmtId="0" fontId="1" fillId="0" borderId="0" xfId="0" applyFont="1" applyAlignment="1" applyProtection="1">
      <alignment horizontal="left" vertical="center" indent="1"/>
      <protection hidden="1"/>
    </xf>
    <xf numFmtId="0" fontId="0" fillId="0" borderId="0" xfId="0" applyAlignment="1" applyProtection="1">
      <alignment horizontal="left" vertical="center" indent="1"/>
      <protection hidden="1"/>
    </xf>
    <xf numFmtId="165" fontId="1" fillId="0" borderId="0" xfId="0" applyNumberFormat="1" applyFont="1" applyAlignment="1" applyProtection="1">
      <alignment horizontal="left" vertical="center" indent="1"/>
      <protection hidden="1"/>
    </xf>
    <xf numFmtId="49" fontId="0" fillId="0" borderId="0" xfId="0" applyNumberFormat="1" applyAlignment="1" applyProtection="1">
      <alignment horizontal="left" vertical="center" indent="1"/>
      <protection hidden="1"/>
    </xf>
    <xf numFmtId="0" fontId="13" fillId="0" borderId="0" xfId="0" applyFont="1" applyAlignment="1" applyProtection="1">
      <alignment horizontal="centerContinuous" vertical="center"/>
      <protection hidden="1"/>
    </xf>
    <xf numFmtId="0" fontId="5" fillId="0" borderId="0" xfId="0" applyFont="1" applyAlignment="1" applyProtection="1">
      <alignment horizontal="centerContinuous" vertical="center"/>
      <protection hidden="1"/>
    </xf>
    <xf numFmtId="0" fontId="5" fillId="0" borderId="0" xfId="0" applyFont="1" applyProtection="1">
      <protection hidden="1"/>
    </xf>
    <xf numFmtId="0" fontId="10" fillId="0" borderId="0" xfId="0" applyFont="1" applyAlignment="1" applyProtection="1">
      <alignment horizontal="right"/>
      <protection hidden="1"/>
    </xf>
    <xf numFmtId="0" fontId="11" fillId="0" borderId="0" xfId="0" applyFont="1" applyProtection="1">
      <protection hidden="1"/>
    </xf>
    <xf numFmtId="0" fontId="11" fillId="0" borderId="0" xfId="0" applyFont="1" applyAlignment="1" applyProtection="1">
      <alignment horizontal="left"/>
      <protection hidden="1"/>
    </xf>
    <xf numFmtId="0" fontId="11" fillId="0" borderId="0" xfId="0" applyFont="1" applyAlignment="1" applyProtection="1">
      <alignment horizontal="left" indent="3"/>
      <protection hidden="1"/>
    </xf>
    <xf numFmtId="0" fontId="3" fillId="0" borderId="0" xfId="0" applyFont="1" applyProtection="1">
      <protection hidden="1"/>
    </xf>
    <xf numFmtId="0" fontId="7" fillId="0" borderId="0" xfId="0" applyFont="1" applyAlignment="1" applyProtection="1">
      <alignment horizontal="left"/>
      <protection hidden="1"/>
    </xf>
    <xf numFmtId="0" fontId="0" fillId="0" borderId="0" xfId="0" applyAlignment="1" applyProtection="1">
      <alignment horizontal="left"/>
      <protection hidden="1"/>
    </xf>
    <xf numFmtId="0" fontId="0" fillId="0" borderId="0" xfId="0" applyAlignment="1" applyProtection="1">
      <alignment horizontal="center" vertical="center"/>
      <protection hidden="1"/>
    </xf>
    <xf numFmtId="49" fontId="0" fillId="0" borderId="7" xfId="0" applyNumberFormat="1" applyBorder="1" applyAlignment="1" applyProtection="1">
      <alignment horizontal="center"/>
      <protection hidden="1"/>
    </xf>
    <xf numFmtId="49" fontId="0" fillId="0" borderId="0" xfId="0" applyNumberFormat="1" applyAlignment="1" applyProtection="1">
      <alignment horizontal="center" vertical="center"/>
      <protection hidden="1"/>
    </xf>
    <xf numFmtId="0" fontId="7" fillId="0" borderId="0" xfId="0" applyFont="1" applyAlignment="1" applyProtection="1">
      <alignment horizontal="left" indent="1"/>
      <protection hidden="1"/>
    </xf>
    <xf numFmtId="49" fontId="0" fillId="0" borderId="9" xfId="0" applyNumberFormat="1" applyBorder="1" applyAlignment="1" applyProtection="1">
      <alignment horizontal="left" vertical="center"/>
      <protection hidden="1"/>
    </xf>
    <xf numFmtId="0" fontId="0" fillId="0" borderId="9" xfId="0" applyBorder="1" applyProtection="1">
      <protection hidden="1"/>
    </xf>
    <xf numFmtId="0" fontId="8" fillId="0" borderId="0" xfId="0" applyFont="1" applyProtection="1">
      <protection hidden="1"/>
    </xf>
    <xf numFmtId="49" fontId="15" fillId="0" borderId="0" xfId="0" applyNumberFormat="1" applyFont="1" applyAlignment="1" applyProtection="1">
      <alignment horizontal="left" vertical="top"/>
      <protection hidden="1"/>
    </xf>
    <xf numFmtId="0" fontId="15" fillId="0" borderId="0" xfId="0" applyFont="1" applyAlignment="1" applyProtection="1">
      <alignment horizontal="left" vertical="top"/>
      <protection hidden="1"/>
    </xf>
    <xf numFmtId="0" fontId="15" fillId="0" borderId="0" xfId="0" applyFont="1" applyProtection="1">
      <protection hidden="1"/>
    </xf>
    <xf numFmtId="0" fontId="14" fillId="0" borderId="0" xfId="0" applyFont="1" applyProtection="1">
      <protection hidden="1"/>
    </xf>
    <xf numFmtId="0" fontId="6" fillId="0" borderId="0" xfId="0" applyFont="1" applyProtection="1">
      <protection hidden="1"/>
    </xf>
    <xf numFmtId="3" fontId="0" fillId="0" borderId="0" xfId="0" applyNumberFormat="1" applyAlignment="1" applyProtection="1">
      <alignment horizontal="left" vertical="center"/>
      <protection hidden="1"/>
    </xf>
    <xf numFmtId="3" fontId="0" fillId="0" borderId="9" xfId="0" applyNumberFormat="1" applyBorder="1" applyAlignment="1" applyProtection="1">
      <alignment horizontal="left" vertical="center"/>
      <protection hidden="1"/>
    </xf>
    <xf numFmtId="0" fontId="0" fillId="0" borderId="10" xfId="0" applyBorder="1" applyProtection="1">
      <protection hidden="1"/>
    </xf>
    <xf numFmtId="0" fontId="0" fillId="0" borderId="11" xfId="0" applyBorder="1" applyProtection="1">
      <protection hidden="1"/>
    </xf>
    <xf numFmtId="0" fontId="7" fillId="0" borderId="9" xfId="0" applyFont="1" applyBorder="1" applyAlignment="1" applyProtection="1">
      <alignment horizontal="center" vertical="center"/>
      <protection hidden="1"/>
    </xf>
    <xf numFmtId="0" fontId="7" fillId="0" borderId="0" xfId="0" applyFont="1" applyProtection="1">
      <protection hidden="1"/>
    </xf>
    <xf numFmtId="0" fontId="0" fillId="0" borderId="0" xfId="0" applyAlignment="1" applyProtection="1">
      <alignment horizontal="center"/>
      <protection hidden="1"/>
    </xf>
    <xf numFmtId="38" fontId="7" fillId="0" borderId="0" xfId="0" applyNumberFormat="1" applyFont="1" applyAlignment="1" applyProtection="1">
      <alignment horizontal="left"/>
      <protection hidden="1"/>
    </xf>
    <xf numFmtId="49" fontId="0" fillId="0" borderId="9" xfId="0" applyNumberFormat="1" applyBorder="1" applyAlignment="1" applyProtection="1">
      <alignment horizontal="left"/>
      <protection hidden="1"/>
    </xf>
    <xf numFmtId="0" fontId="7" fillId="0" borderId="9" xfId="0" applyFont="1" applyBorder="1" applyAlignment="1" applyProtection="1">
      <alignment horizontal="right"/>
      <protection hidden="1"/>
    </xf>
    <xf numFmtId="3" fontId="0" fillId="0" borderId="0" xfId="0" applyNumberFormat="1" applyAlignment="1" applyProtection="1">
      <alignment horizontal="center" vertical="center"/>
      <protection hidden="1"/>
    </xf>
    <xf numFmtId="0" fontId="8" fillId="0" borderId="0" xfId="0" applyFont="1" applyAlignment="1" applyProtection="1">
      <alignment horizontal="center" vertical="top"/>
      <protection hidden="1"/>
    </xf>
    <xf numFmtId="0" fontId="12" fillId="0" borderId="0" xfId="0" applyFont="1" applyProtection="1">
      <protection hidden="1"/>
    </xf>
    <xf numFmtId="0" fontId="8" fillId="0" borderId="4" xfId="0" applyFont="1" applyBorder="1" applyAlignment="1" applyProtection="1">
      <alignment horizontal="left" indent="1"/>
      <protection hidden="1"/>
    </xf>
    <xf numFmtId="0" fontId="0" fillId="0" borderId="3" xfId="0" applyBorder="1" applyProtection="1">
      <protection hidden="1"/>
    </xf>
    <xf numFmtId="0" fontId="0" fillId="0" borderId="12" xfId="0" applyBorder="1" applyProtection="1">
      <protection hidden="1"/>
    </xf>
    <xf numFmtId="0" fontId="16" fillId="0" borderId="0" xfId="0" applyFont="1" applyAlignment="1" applyProtection="1">
      <alignment horizontal="center"/>
      <protection hidden="1"/>
    </xf>
    <xf numFmtId="0" fontId="16" fillId="3" borderId="0" xfId="0" applyFont="1" applyFill="1" applyAlignment="1" applyProtection="1">
      <alignment horizontal="right"/>
      <protection hidden="1"/>
    </xf>
    <xf numFmtId="0" fontId="16" fillId="3" borderId="0" xfId="0" applyFont="1" applyFill="1" applyProtection="1">
      <protection hidden="1"/>
    </xf>
    <xf numFmtId="0" fontId="16" fillId="3" borderId="0" xfId="0" applyFont="1" applyFill="1" applyAlignment="1" applyProtection="1">
      <alignment horizontal="center"/>
      <protection hidden="1"/>
    </xf>
    <xf numFmtId="0" fontId="36" fillId="0" borderId="0" xfId="0" applyFont="1" applyAlignment="1">
      <alignment horizontal="left" vertical="center" indent="2"/>
    </xf>
    <xf numFmtId="0" fontId="27" fillId="0" borderId="0" xfId="0" applyFont="1"/>
    <xf numFmtId="0" fontId="37" fillId="0" borderId="0" xfId="0" applyFont="1" applyAlignment="1">
      <alignment horizontal="left" vertical="center" indent="2"/>
    </xf>
    <xf numFmtId="0" fontId="29" fillId="0" borderId="0" xfId="0" applyFont="1" applyAlignment="1">
      <alignment horizontal="left" vertical="center" indent="2"/>
    </xf>
    <xf numFmtId="0" fontId="29" fillId="0" borderId="0" xfId="0" applyFont="1" applyAlignment="1">
      <alignment vertical="center"/>
    </xf>
    <xf numFmtId="0" fontId="38" fillId="0" borderId="0" xfId="0" applyFont="1" applyAlignment="1">
      <alignment horizontal="left"/>
    </xf>
    <xf numFmtId="0" fontId="39" fillId="0" borderId="0" xfId="0" applyFont="1" applyAlignment="1">
      <alignment horizontal="left" vertical="center" indent="2"/>
    </xf>
    <xf numFmtId="0" fontId="4" fillId="0" borderId="0" xfId="0" applyFont="1"/>
    <xf numFmtId="0" fontId="40" fillId="0" borderId="0" xfId="0" applyFont="1" applyAlignment="1">
      <alignment vertical="center"/>
    </xf>
    <xf numFmtId="0" fontId="41" fillId="0" borderId="0" xfId="0" applyFont="1" applyAlignment="1">
      <alignment horizontal="left" vertical="center" indent="12"/>
    </xf>
    <xf numFmtId="0" fontId="27" fillId="0" borderId="0" xfId="0" applyFont="1" applyAlignment="1">
      <alignment horizontal="left" indent="13"/>
    </xf>
    <xf numFmtId="0" fontId="41" fillId="0" borderId="0" xfId="0" applyFont="1" applyAlignment="1">
      <alignment horizontal="left" vertical="center" indent="14"/>
    </xf>
    <xf numFmtId="0" fontId="36" fillId="0" borderId="0" xfId="0" applyFont="1" applyAlignment="1">
      <alignment horizontal="left" vertical="center" indent="13"/>
    </xf>
    <xf numFmtId="0" fontId="4" fillId="0" borderId="0" xfId="0" applyFont="1" applyAlignment="1">
      <alignment horizontal="left" indent="13"/>
    </xf>
    <xf numFmtId="0" fontId="27" fillId="0" borderId="0" xfId="0" applyFont="1" applyAlignment="1">
      <alignment horizontal="left" indent="25"/>
    </xf>
    <xf numFmtId="0" fontId="27" fillId="0" borderId="0" xfId="0" applyFont="1" applyAlignment="1">
      <alignment horizontal="left" indent="14"/>
    </xf>
    <xf numFmtId="0" fontId="27" fillId="0" borderId="0" xfId="0" applyFont="1" applyAlignment="1">
      <alignment horizontal="left" indent="12"/>
    </xf>
    <xf numFmtId="0" fontId="42" fillId="0" borderId="0" xfId="0" applyFont="1" applyAlignment="1">
      <alignment horizontal="left" vertical="center" indent="16"/>
    </xf>
    <xf numFmtId="0" fontId="27" fillId="0" borderId="0" xfId="0" applyFont="1" applyAlignment="1">
      <alignment horizontal="left" indent="21"/>
    </xf>
    <xf numFmtId="0" fontId="36" fillId="0" borderId="0" xfId="0" applyFont="1" applyAlignment="1">
      <alignment horizontal="left" vertical="center" indent="21"/>
    </xf>
    <xf numFmtId="0" fontId="34" fillId="0" borderId="0" xfId="0" applyFont="1"/>
    <xf numFmtId="0" fontId="43" fillId="0" borderId="0" xfId="0" applyFont="1" applyAlignment="1">
      <alignment horizontal="left" vertical="center"/>
    </xf>
    <xf numFmtId="0" fontId="35" fillId="0" borderId="0" xfId="0" applyFont="1" applyAlignment="1">
      <alignment horizontal="left"/>
    </xf>
    <xf numFmtId="0" fontId="34" fillId="0" borderId="0" xfId="0" applyFont="1" applyAlignment="1">
      <alignment horizontal="left"/>
    </xf>
    <xf numFmtId="0" fontId="43" fillId="0" borderId="0" xfId="0" applyFont="1" applyAlignment="1">
      <alignment vertical="center"/>
    </xf>
    <xf numFmtId="0" fontId="35" fillId="0" borderId="0" xfId="0" applyFont="1"/>
    <xf numFmtId="169" fontId="17" fillId="0" borderId="3" xfId="0" applyNumberFormat="1" applyFont="1" applyBorder="1" applyProtection="1">
      <protection hidden="1"/>
    </xf>
    <xf numFmtId="0" fontId="17" fillId="0" borderId="0" xfId="0" applyFont="1" applyAlignment="1" applyProtection="1">
      <alignment vertical="center"/>
      <protection hidden="1"/>
    </xf>
    <xf numFmtId="0" fontId="22" fillId="0" borderId="0" xfId="0" applyFont="1" applyProtection="1">
      <protection hidden="1"/>
    </xf>
    <xf numFmtId="0" fontId="17" fillId="0" borderId="0" xfId="0" applyFont="1" applyProtection="1">
      <protection hidden="1"/>
    </xf>
    <xf numFmtId="169" fontId="21" fillId="0" borderId="0" xfId="0" applyNumberFormat="1" applyFont="1" applyProtection="1">
      <protection hidden="1"/>
    </xf>
    <xf numFmtId="0" fontId="21" fillId="0" borderId="0" xfId="0" applyFont="1" applyAlignment="1" applyProtection="1">
      <alignment horizontal="right"/>
      <protection hidden="1"/>
    </xf>
    <xf numFmtId="0" fontId="17" fillId="0" borderId="0" xfId="0" applyFont="1" applyAlignment="1" applyProtection="1">
      <alignment horizontal="center"/>
      <protection hidden="1"/>
    </xf>
    <xf numFmtId="0" fontId="19" fillId="0" borderId="0" xfId="0" applyFont="1" applyProtection="1">
      <protection hidden="1"/>
    </xf>
    <xf numFmtId="0" fontId="24" fillId="0" borderId="0" xfId="0" applyFont="1" applyProtection="1">
      <protection hidden="1"/>
    </xf>
    <xf numFmtId="0" fontId="46" fillId="0" borderId="0" xfId="0" applyFont="1" applyProtection="1">
      <protection hidden="1"/>
    </xf>
    <xf numFmtId="166" fontId="16" fillId="7" borderId="1" xfId="0" applyNumberFormat="1" applyFont="1" applyFill="1" applyBorder="1" applyProtection="1">
      <protection locked="0"/>
    </xf>
    <xf numFmtId="169" fontId="16" fillId="7" borderId="1" xfId="0" applyNumberFormat="1" applyFont="1" applyFill="1" applyBorder="1" applyProtection="1">
      <protection hidden="1"/>
    </xf>
    <xf numFmtId="169" fontId="16" fillId="5" borderId="14" xfId="0" applyNumberFormat="1" applyFont="1" applyFill="1" applyBorder="1" applyProtection="1">
      <protection locked="0"/>
    </xf>
    <xf numFmtId="169" fontId="16" fillId="5" borderId="1" xfId="0" applyNumberFormat="1" applyFont="1" applyFill="1" applyBorder="1" applyProtection="1">
      <protection locked="0"/>
    </xf>
    <xf numFmtId="170" fontId="17" fillId="7" borderId="1" xfId="2" applyNumberFormat="1" applyFont="1" applyFill="1" applyBorder="1" applyAlignment="1" applyProtection="1">
      <alignment horizontal="center"/>
      <protection hidden="1"/>
    </xf>
    <xf numFmtId="10" fontId="21" fillId="5" borderId="1" xfId="0" applyNumberFormat="1" applyFont="1" applyFill="1" applyBorder="1" applyAlignment="1" applyProtection="1">
      <alignment horizontal="center"/>
      <protection locked="0"/>
    </xf>
    <xf numFmtId="169" fontId="17" fillId="7" borderId="1" xfId="0" applyNumberFormat="1" applyFont="1" applyFill="1" applyBorder="1" applyAlignment="1" applyProtection="1">
      <alignment horizontal="center"/>
      <protection hidden="1"/>
    </xf>
    <xf numFmtId="166" fontId="16" fillId="7" borderId="1" xfId="0" applyNumberFormat="1" applyFont="1" applyFill="1" applyBorder="1" applyProtection="1">
      <protection hidden="1"/>
    </xf>
    <xf numFmtId="166" fontId="16" fillId="5" borderId="1" xfId="0" applyNumberFormat="1" applyFont="1" applyFill="1" applyBorder="1" applyProtection="1">
      <protection locked="0"/>
    </xf>
    <xf numFmtId="169" fontId="17" fillId="7" borderId="1" xfId="0" applyNumberFormat="1" applyFont="1" applyFill="1" applyBorder="1" applyProtection="1">
      <protection hidden="1"/>
    </xf>
    <xf numFmtId="166" fontId="17" fillId="7" borderId="1" xfId="0" applyNumberFormat="1" applyFont="1" applyFill="1" applyBorder="1" applyProtection="1">
      <protection hidden="1"/>
    </xf>
    <xf numFmtId="166" fontId="17" fillId="7" borderId="1" xfId="0" applyNumberFormat="1" applyFont="1" applyFill="1" applyBorder="1" applyAlignment="1" applyProtection="1">
      <alignment horizontal="center"/>
      <protection hidden="1"/>
    </xf>
    <xf numFmtId="10" fontId="16" fillId="5" borderId="1" xfId="2" applyNumberFormat="1" applyFont="1" applyFill="1" applyBorder="1" applyAlignment="1" applyProtection="1">
      <alignment horizontal="center"/>
      <protection locked="0"/>
    </xf>
    <xf numFmtId="0" fontId="16" fillId="5" borderId="1" xfId="0" applyFont="1" applyFill="1" applyBorder="1" applyAlignment="1" applyProtection="1">
      <alignment horizontal="center"/>
      <protection locked="0"/>
    </xf>
    <xf numFmtId="2" fontId="17" fillId="5" borderId="1" xfId="0" applyNumberFormat="1" applyFont="1" applyFill="1" applyBorder="1" applyAlignment="1" applyProtection="1">
      <alignment horizontal="center"/>
      <protection locked="0"/>
    </xf>
    <xf numFmtId="10" fontId="17" fillId="6" borderId="1" xfId="0" applyNumberFormat="1" applyFont="1" applyFill="1" applyBorder="1" applyAlignment="1" applyProtection="1">
      <alignment horizontal="center"/>
      <protection hidden="1"/>
    </xf>
    <xf numFmtId="0" fontId="17" fillId="5" borderId="1" xfId="0" applyFont="1" applyFill="1" applyBorder="1" applyAlignment="1" applyProtection="1">
      <alignment horizontal="right"/>
      <protection locked="0"/>
    </xf>
    <xf numFmtId="43" fontId="24" fillId="5" borderId="1" xfId="1" applyFont="1" applyFill="1" applyBorder="1" applyAlignment="1" applyProtection="1">
      <alignment horizontal="center"/>
      <protection locked="0"/>
    </xf>
    <xf numFmtId="0" fontId="16" fillId="7" borderId="20" xfId="0" applyFont="1" applyFill="1" applyBorder="1" applyProtection="1">
      <protection hidden="1"/>
    </xf>
    <xf numFmtId="0" fontId="16" fillId="7" borderId="21" xfId="0" applyFont="1" applyFill="1" applyBorder="1" applyProtection="1">
      <protection hidden="1"/>
    </xf>
    <xf numFmtId="0" fontId="18" fillId="4" borderId="0" xfId="0" applyFont="1" applyFill="1" applyProtection="1">
      <protection hidden="1"/>
    </xf>
    <xf numFmtId="0" fontId="16" fillId="4" borderId="0" xfId="0" applyFont="1" applyFill="1" applyProtection="1">
      <protection hidden="1"/>
    </xf>
    <xf numFmtId="0" fontId="16" fillId="4" borderId="0" xfId="0" applyFont="1" applyFill="1" applyAlignment="1" applyProtection="1">
      <alignment horizontal="right"/>
      <protection hidden="1"/>
    </xf>
    <xf numFmtId="0" fontId="17" fillId="4" borderId="0" xfId="0" applyFont="1" applyFill="1" applyAlignment="1" applyProtection="1">
      <alignment horizontal="right"/>
      <protection hidden="1"/>
    </xf>
    <xf numFmtId="0" fontId="19" fillId="4" borderId="0" xfId="0" applyFont="1" applyFill="1" applyProtection="1">
      <protection hidden="1"/>
    </xf>
    <xf numFmtId="0" fontId="23" fillId="4" borderId="0" xfId="0" applyFont="1" applyFill="1" applyAlignment="1" applyProtection="1">
      <alignment horizontal="right"/>
      <protection hidden="1"/>
    </xf>
    <xf numFmtId="0" fontId="19" fillId="4" borderId="0" xfId="0" applyFont="1" applyFill="1" applyAlignment="1" applyProtection="1">
      <alignment horizontal="left"/>
      <protection hidden="1"/>
    </xf>
    <xf numFmtId="0" fontId="21" fillId="4" borderId="0" xfId="0" applyFont="1" applyFill="1" applyAlignment="1" applyProtection="1">
      <alignment horizontal="right"/>
      <protection hidden="1"/>
    </xf>
    <xf numFmtId="0" fontId="20" fillId="4" borderId="0" xfId="0" applyFont="1" applyFill="1" applyAlignment="1" applyProtection="1">
      <alignment horizontal="center"/>
      <protection hidden="1"/>
    </xf>
    <xf numFmtId="166" fontId="16" fillId="4" borderId="0" xfId="0" applyNumberFormat="1" applyFont="1" applyFill="1" applyProtection="1">
      <protection hidden="1"/>
    </xf>
    <xf numFmtId="166" fontId="17" fillId="4" borderId="0" xfId="0" applyNumberFormat="1" applyFont="1" applyFill="1" applyProtection="1">
      <protection hidden="1"/>
    </xf>
    <xf numFmtId="0" fontId="16" fillId="4" borderId="0" xfId="0" applyFont="1" applyFill="1" applyAlignment="1" applyProtection="1">
      <alignment horizontal="left"/>
      <protection hidden="1"/>
    </xf>
    <xf numFmtId="0" fontId="16" fillId="5" borderId="19" xfId="0" applyFont="1" applyFill="1" applyBorder="1" applyProtection="1">
      <protection hidden="1"/>
    </xf>
    <xf numFmtId="0" fontId="16" fillId="3" borderId="17" xfId="0" applyFont="1" applyFill="1" applyBorder="1" applyProtection="1">
      <protection hidden="1"/>
    </xf>
    <xf numFmtId="0" fontId="17" fillId="4" borderId="0" xfId="0" applyFont="1" applyFill="1" applyAlignment="1" applyProtection="1">
      <alignment horizontal="center"/>
      <protection hidden="1"/>
    </xf>
    <xf numFmtId="10" fontId="16" fillId="7" borderId="1" xfId="2" applyNumberFormat="1" applyFont="1" applyFill="1" applyBorder="1" applyProtection="1">
      <protection hidden="1"/>
    </xf>
    <xf numFmtId="10" fontId="16" fillId="5" borderId="14" xfId="2" applyNumberFormat="1" applyFont="1" applyFill="1" applyBorder="1" applyProtection="1">
      <protection locked="0"/>
    </xf>
    <xf numFmtId="10" fontId="21" fillId="7" borderId="13" xfId="2" applyNumberFormat="1" applyFont="1" applyFill="1" applyBorder="1" applyAlignment="1" applyProtection="1">
      <alignment horizontal="right"/>
      <protection hidden="1"/>
    </xf>
    <xf numFmtId="10" fontId="21" fillId="7" borderId="1" xfId="2" applyNumberFormat="1" applyFont="1" applyFill="1" applyBorder="1" applyAlignment="1" applyProtection="1">
      <alignment horizontal="right"/>
      <protection hidden="1"/>
    </xf>
    <xf numFmtId="10" fontId="16" fillId="7" borderId="1" xfId="0" applyNumberFormat="1" applyFont="1" applyFill="1" applyBorder="1" applyAlignment="1" applyProtection="1">
      <alignment horizontal="right"/>
      <protection hidden="1"/>
    </xf>
    <xf numFmtId="169" fontId="21" fillId="7" borderId="13" xfId="0" applyNumberFormat="1" applyFont="1" applyFill="1" applyBorder="1" applyProtection="1">
      <protection hidden="1"/>
    </xf>
    <xf numFmtId="0" fontId="16" fillId="8" borderId="22" xfId="0" applyFont="1" applyFill="1" applyBorder="1" applyProtection="1">
      <protection hidden="1"/>
    </xf>
    <xf numFmtId="0" fontId="16" fillId="8" borderId="24" xfId="0" applyFont="1" applyFill="1" applyBorder="1" applyProtection="1">
      <protection hidden="1"/>
    </xf>
    <xf numFmtId="171" fontId="17" fillId="7" borderId="1" xfId="2" applyNumberFormat="1" applyFont="1" applyFill="1" applyBorder="1" applyAlignment="1" applyProtection="1">
      <alignment horizontal="center"/>
      <protection hidden="1"/>
    </xf>
    <xf numFmtId="171" fontId="21" fillId="7" borderId="1" xfId="0" applyNumberFormat="1" applyFont="1" applyFill="1" applyBorder="1" applyAlignment="1" applyProtection="1">
      <alignment horizontal="center"/>
      <protection hidden="1"/>
    </xf>
    <xf numFmtId="171" fontId="17" fillId="7" borderId="1" xfId="0" applyNumberFormat="1" applyFont="1" applyFill="1" applyBorder="1" applyAlignment="1" applyProtection="1">
      <alignment horizontal="center"/>
      <protection hidden="1"/>
    </xf>
    <xf numFmtId="171" fontId="21" fillId="0" borderId="0" xfId="0" applyNumberFormat="1" applyFont="1" applyProtection="1">
      <protection hidden="1"/>
    </xf>
    <xf numFmtId="0" fontId="21" fillId="4" borderId="0" xfId="0" applyFont="1" applyFill="1" applyAlignment="1" applyProtection="1">
      <alignment horizontal="center" wrapText="1"/>
      <protection hidden="1"/>
    </xf>
    <xf numFmtId="0" fontId="47" fillId="4" borderId="0" xfId="0" applyFont="1" applyFill="1" applyAlignment="1" applyProtection="1">
      <alignment horizontal="center" wrapText="1"/>
      <protection hidden="1"/>
    </xf>
    <xf numFmtId="0" fontId="16" fillId="7" borderId="0" xfId="0" applyFont="1" applyFill="1" applyAlignment="1" applyProtection="1">
      <alignment horizontal="center" vertical="center"/>
      <protection hidden="1"/>
    </xf>
    <xf numFmtId="0" fontId="16" fillId="8" borderId="23" xfId="0" applyFont="1" applyFill="1" applyBorder="1" applyAlignment="1" applyProtection="1">
      <alignment horizontal="center" vertical="center"/>
      <protection hidden="1"/>
    </xf>
    <xf numFmtId="0" fontId="16" fillId="5" borderId="18" xfId="0" applyFont="1" applyFill="1" applyBorder="1" applyAlignment="1" applyProtection="1">
      <alignment horizontal="center" vertical="center"/>
      <protection hidden="1"/>
    </xf>
    <xf numFmtId="0" fontId="17" fillId="5" borderId="1" xfId="0" applyFont="1" applyFill="1" applyBorder="1" applyAlignment="1" applyProtection="1">
      <alignment horizontal="center"/>
      <protection locked="0"/>
    </xf>
    <xf numFmtId="10" fontId="16" fillId="5" borderId="1" xfId="0" applyNumberFormat="1" applyFont="1" applyFill="1" applyBorder="1" applyAlignment="1" applyProtection="1">
      <alignment horizontal="right"/>
      <protection locked="0"/>
    </xf>
    <xf numFmtId="0" fontId="45" fillId="4" borderId="0" xfId="0" applyFont="1" applyFill="1" applyAlignment="1" applyProtection="1">
      <alignment horizontal="right"/>
      <protection hidden="1"/>
    </xf>
    <xf numFmtId="0" fontId="17" fillId="0" borderId="17" xfId="0" applyFont="1" applyBorder="1" applyAlignment="1" applyProtection="1">
      <alignment horizontal="right"/>
      <protection hidden="1"/>
    </xf>
    <xf numFmtId="0" fontId="17" fillId="0" borderId="18" xfId="0" applyFont="1" applyBorder="1" applyAlignment="1" applyProtection="1">
      <alignment horizontal="right"/>
      <protection hidden="1"/>
    </xf>
    <xf numFmtId="0" fontId="16" fillId="0" borderId="18" xfId="0" applyFont="1" applyBorder="1" applyProtection="1">
      <protection hidden="1"/>
    </xf>
    <xf numFmtId="0" fontId="16" fillId="0" borderId="19" xfId="0" applyFont="1" applyBorder="1" applyProtection="1">
      <protection hidden="1"/>
    </xf>
    <xf numFmtId="0" fontId="17" fillId="4" borderId="20" xfId="0" applyFont="1" applyFill="1" applyBorder="1" applyAlignment="1" applyProtection="1">
      <alignment horizontal="right"/>
      <protection hidden="1"/>
    </xf>
    <xf numFmtId="0" fontId="16" fillId="0" borderId="21" xfId="0" applyFont="1" applyBorder="1" applyProtection="1">
      <protection hidden="1"/>
    </xf>
    <xf numFmtId="0" fontId="16" fillId="0" borderId="20" xfId="0" applyFont="1" applyBorder="1" applyProtection="1">
      <protection hidden="1"/>
    </xf>
    <xf numFmtId="0" fontId="48" fillId="0" borderId="0" xfId="0" applyFont="1" applyProtection="1">
      <protection hidden="1"/>
    </xf>
    <xf numFmtId="0" fontId="16" fillId="0" borderId="22" xfId="0" applyFont="1" applyBorder="1" applyProtection="1">
      <protection hidden="1"/>
    </xf>
    <xf numFmtId="0" fontId="16" fillId="0" borderId="23" xfId="0" applyFont="1" applyBorder="1" applyProtection="1">
      <protection hidden="1"/>
    </xf>
    <xf numFmtId="0" fontId="0" fillId="0" borderId="23" xfId="0" applyBorder="1" applyProtection="1">
      <protection hidden="1"/>
    </xf>
    <xf numFmtId="0" fontId="16" fillId="0" borderId="24" xfId="0" applyFont="1" applyBorder="1" applyProtection="1">
      <protection hidden="1"/>
    </xf>
    <xf numFmtId="10" fontId="21" fillId="4" borderId="7" xfId="2" applyNumberFormat="1" applyFont="1" applyFill="1" applyBorder="1" applyAlignment="1" applyProtection="1">
      <alignment horizontal="right"/>
      <protection hidden="1"/>
    </xf>
    <xf numFmtId="166" fontId="48" fillId="0" borderId="25" xfId="0" applyNumberFormat="1" applyFont="1" applyBorder="1" applyAlignment="1" applyProtection="1">
      <alignment horizontal="center" vertical="center"/>
      <protection hidden="1"/>
    </xf>
    <xf numFmtId="0" fontId="48" fillId="0" borderId="0" xfId="0" applyFont="1" applyAlignment="1" applyProtection="1">
      <alignment horizontal="center"/>
      <protection hidden="1"/>
    </xf>
    <xf numFmtId="0" fontId="21" fillId="7" borderId="5" xfId="0" applyFont="1" applyFill="1" applyBorder="1" applyAlignment="1" applyProtection="1">
      <alignment horizontal="center"/>
      <protection hidden="1"/>
    </xf>
    <xf numFmtId="169" fontId="16" fillId="4" borderId="0" xfId="0" applyNumberFormat="1" applyFont="1" applyFill="1" applyProtection="1">
      <protection locked="0"/>
    </xf>
    <xf numFmtId="10" fontId="16" fillId="4" borderId="0" xfId="2" applyNumberFormat="1" applyFont="1" applyFill="1" applyBorder="1" applyAlignment="1" applyProtection="1">
      <alignment horizontal="center"/>
      <protection locked="0"/>
    </xf>
    <xf numFmtId="0" fontId="46" fillId="0" borderId="0" xfId="0" applyFont="1" applyAlignment="1" applyProtection="1">
      <alignment horizontal="right" vertical="top"/>
      <protection hidden="1"/>
    </xf>
    <xf numFmtId="0" fontId="21" fillId="0" borderId="0" xfId="0" applyFont="1" applyAlignment="1" applyProtection="1">
      <alignment horizontal="left"/>
      <protection hidden="1"/>
    </xf>
    <xf numFmtId="166" fontId="17" fillId="0" borderId="2" xfId="0" applyNumberFormat="1" applyFont="1" applyBorder="1" applyProtection="1">
      <protection hidden="1"/>
    </xf>
    <xf numFmtId="166" fontId="44" fillId="0" borderId="0" xfId="0" applyNumberFormat="1" applyFont="1"/>
    <xf numFmtId="0" fontId="49" fillId="5" borderId="0" xfId="0" applyFont="1" applyFill="1" applyAlignment="1" applyProtection="1">
      <alignment horizontal="left"/>
      <protection hidden="1"/>
    </xf>
    <xf numFmtId="0" fontId="50" fillId="5" borderId="0" xfId="0" applyFont="1" applyFill="1" applyProtection="1">
      <protection hidden="1"/>
    </xf>
    <xf numFmtId="0" fontId="50" fillId="5" borderId="21" xfId="0" applyFont="1" applyFill="1" applyBorder="1" applyProtection="1">
      <protection hidden="1"/>
    </xf>
    <xf numFmtId="7" fontId="21" fillId="8" borderId="0" xfId="0" applyNumberFormat="1" applyFont="1" applyFill="1" applyProtection="1">
      <protection hidden="1"/>
    </xf>
    <xf numFmtId="0" fontId="51" fillId="0" borderId="0" xfId="0" applyFont="1"/>
    <xf numFmtId="49" fontId="1" fillId="0" borderId="9" xfId="0" applyNumberFormat="1" applyFont="1" applyBorder="1" applyAlignment="1" applyProtection="1">
      <alignment horizontal="center"/>
      <protection locked="0"/>
    </xf>
    <xf numFmtId="49" fontId="1" fillId="0" borderId="9" xfId="0" applyNumberFormat="1" applyFont="1" applyBorder="1" applyAlignment="1" applyProtection="1">
      <alignment horizontal="center" vertical="center"/>
      <protection locked="0"/>
    </xf>
    <xf numFmtId="169" fontId="21" fillId="7" borderId="1" xfId="0" applyNumberFormat="1" applyFont="1" applyFill="1" applyBorder="1" applyProtection="1">
      <protection hidden="1"/>
    </xf>
    <xf numFmtId="172" fontId="21" fillId="7" borderId="1" xfId="0" applyNumberFormat="1" applyFont="1" applyFill="1" applyBorder="1" applyProtection="1">
      <protection hidden="1"/>
    </xf>
    <xf numFmtId="10" fontId="21" fillId="5" borderId="1" xfId="2" applyNumberFormat="1" applyFont="1" applyFill="1" applyBorder="1" applyProtection="1">
      <protection locked="0"/>
    </xf>
    <xf numFmtId="10" fontId="21" fillId="7" borderId="1" xfId="0" applyNumberFormat="1" applyFont="1" applyFill="1" applyBorder="1" applyAlignment="1" applyProtection="1">
      <alignment horizontal="right"/>
      <protection hidden="1"/>
    </xf>
    <xf numFmtId="0" fontId="21" fillId="0" borderId="0" xfId="0" applyFont="1" applyProtection="1">
      <protection hidden="1"/>
    </xf>
    <xf numFmtId="169" fontId="21" fillId="5" borderId="1" xfId="0" applyNumberFormat="1" applyFont="1" applyFill="1" applyBorder="1" applyProtection="1">
      <protection locked="0"/>
    </xf>
    <xf numFmtId="0" fontId="16" fillId="0" borderId="0" xfId="0" applyFont="1"/>
    <xf numFmtId="0" fontId="16" fillId="9" borderId="0" xfId="0" applyFont="1" applyFill="1"/>
    <xf numFmtId="0" fontId="16" fillId="9" borderId="0" xfId="0" applyFont="1" applyFill="1" applyProtection="1">
      <protection hidden="1"/>
    </xf>
    <xf numFmtId="169" fontId="21" fillId="8" borderId="1" xfId="0" applyNumberFormat="1" applyFont="1" applyFill="1" applyBorder="1" applyProtection="1">
      <protection locked="0"/>
    </xf>
    <xf numFmtId="0" fontId="52" fillId="0" borderId="0" xfId="3" applyFont="1" applyAlignment="1">
      <alignment vertical="top" wrapText="1"/>
    </xf>
    <xf numFmtId="0" fontId="52" fillId="0" borderId="0" xfId="3" applyFont="1" applyAlignment="1" applyProtection="1">
      <alignment vertical="top"/>
      <protection hidden="1"/>
    </xf>
    <xf numFmtId="171" fontId="16" fillId="7" borderId="1" xfId="0" applyNumberFormat="1" applyFont="1" applyFill="1" applyBorder="1" applyProtection="1">
      <protection hidden="1"/>
    </xf>
    <xf numFmtId="166" fontId="21" fillId="7" borderId="1" xfId="0" applyNumberFormat="1" applyFont="1" applyFill="1" applyBorder="1" applyProtection="1">
      <protection hidden="1"/>
    </xf>
    <xf numFmtId="0" fontId="16" fillId="9" borderId="0" xfId="0" applyFont="1" applyFill="1" applyAlignment="1">
      <alignment wrapText="1"/>
    </xf>
    <xf numFmtId="0" fontId="52" fillId="0" borderId="0" xfId="3" applyFont="1" applyAlignment="1" applyProtection="1">
      <alignment vertical="top" wrapText="1"/>
      <protection hidden="1"/>
    </xf>
    <xf numFmtId="0" fontId="19" fillId="0" borderId="0" xfId="0" applyFont="1" applyAlignment="1" applyProtection="1">
      <alignment vertical="top" wrapText="1"/>
      <protection hidden="1"/>
    </xf>
    <xf numFmtId="2" fontId="16" fillId="0" borderId="0" xfId="0" applyNumberFormat="1" applyFont="1" applyProtection="1">
      <protection hidden="1"/>
    </xf>
    <xf numFmtId="0" fontId="10" fillId="0" borderId="0" xfId="0" quotePrefix="1" applyFont="1" applyAlignment="1" applyProtection="1">
      <alignment horizontal="left" vertical="center" indent="1"/>
      <protection hidden="1"/>
    </xf>
    <xf numFmtId="0" fontId="52" fillId="0" borderId="0" xfId="3" applyFont="1" applyAlignment="1" applyProtection="1">
      <alignment wrapText="1"/>
      <protection hidden="1"/>
    </xf>
    <xf numFmtId="173" fontId="16" fillId="7" borderId="1" xfId="2" applyNumberFormat="1" applyFont="1" applyFill="1" applyBorder="1" applyProtection="1">
      <protection hidden="1"/>
    </xf>
    <xf numFmtId="0" fontId="55" fillId="9" borderId="0" xfId="0" applyFont="1" applyFill="1"/>
    <xf numFmtId="9" fontId="55" fillId="9" borderId="0" xfId="2" applyFont="1" applyFill="1"/>
    <xf numFmtId="0" fontId="56" fillId="0" borderId="0" xfId="4" applyAlignment="1" applyProtection="1">
      <alignment horizontal="left"/>
      <protection hidden="1"/>
    </xf>
    <xf numFmtId="164" fontId="16" fillId="5" borderId="1" xfId="0" applyNumberFormat="1" applyFont="1" applyFill="1" applyBorder="1" applyAlignment="1" applyProtection="1">
      <alignment horizontal="right"/>
      <protection locked="0"/>
    </xf>
    <xf numFmtId="0" fontId="58" fillId="0" borderId="0" xfId="3" applyFont="1" applyProtection="1">
      <protection hidden="1"/>
    </xf>
    <xf numFmtId="0" fontId="58" fillId="4" borderId="0" xfId="3" applyFont="1" applyFill="1" applyProtection="1">
      <protection hidden="1"/>
    </xf>
    <xf numFmtId="0" fontId="58" fillId="0" borderId="0" xfId="3" applyFont="1"/>
    <xf numFmtId="0" fontId="58" fillId="6" borderId="0" xfId="3" applyFont="1" applyFill="1" applyProtection="1">
      <protection hidden="1"/>
    </xf>
    <xf numFmtId="0" fontId="58" fillId="0" borderId="0" xfId="3" applyFont="1" applyAlignment="1" applyProtection="1">
      <alignment horizontal="left" vertical="center"/>
      <protection hidden="1"/>
    </xf>
    <xf numFmtId="0" fontId="58" fillId="0" borderId="0" xfId="3" applyFont="1" applyAlignment="1" applyProtection="1">
      <alignment horizontal="center" vertical="center"/>
      <protection hidden="1"/>
    </xf>
    <xf numFmtId="0" fontId="17" fillId="0" borderId="0" xfId="3" applyFont="1" applyAlignment="1" applyProtection="1">
      <alignment vertical="center"/>
      <protection hidden="1"/>
    </xf>
    <xf numFmtId="0" fontId="17" fillId="6" borderId="0" xfId="3" applyFont="1" applyFill="1" applyAlignment="1" applyProtection="1">
      <alignment horizontal="center" vertical="center"/>
      <protection hidden="1"/>
    </xf>
    <xf numFmtId="0" fontId="58" fillId="6" borderId="0" xfId="3" applyFont="1" applyFill="1" applyAlignment="1" applyProtection="1">
      <alignment horizontal="left" vertical="center" indent="6"/>
      <protection hidden="1"/>
    </xf>
    <xf numFmtId="0" fontId="16" fillId="0" borderId="0" xfId="3" quotePrefix="1" applyFont="1" applyAlignment="1" applyProtection="1">
      <alignment horizontal="center"/>
      <protection hidden="1"/>
    </xf>
    <xf numFmtId="0" fontId="16" fillId="0" borderId="0" xfId="3" applyFont="1" applyProtection="1">
      <protection hidden="1"/>
    </xf>
    <xf numFmtId="0" fontId="16" fillId="0" borderId="0" xfId="3" applyFont="1" applyAlignment="1" applyProtection="1">
      <alignment horizontal="center"/>
      <protection hidden="1"/>
    </xf>
    <xf numFmtId="0" fontId="59" fillId="0" borderId="0" xfId="3" applyFont="1" applyProtection="1">
      <protection hidden="1"/>
    </xf>
    <xf numFmtId="0" fontId="60" fillId="0" borderId="0" xfId="3" applyFont="1" applyProtection="1">
      <protection hidden="1"/>
    </xf>
    <xf numFmtId="174" fontId="16" fillId="0" borderId="0" xfId="3" applyNumberFormat="1" applyFont="1" applyProtection="1">
      <protection hidden="1"/>
    </xf>
    <xf numFmtId="0" fontId="61" fillId="6" borderId="0" xfId="4" applyFont="1" applyFill="1" applyAlignment="1" applyProtection="1">
      <alignment horizontal="left" vertical="center" indent="6"/>
      <protection hidden="1"/>
    </xf>
    <xf numFmtId="176" fontId="16" fillId="0" borderId="0" xfId="3" applyNumberFormat="1" applyFont="1" applyProtection="1">
      <protection hidden="1"/>
    </xf>
    <xf numFmtId="177" fontId="16" fillId="0" borderId="0" xfId="3" applyNumberFormat="1" applyFont="1" applyAlignment="1" applyProtection="1">
      <alignment horizontal="left"/>
      <protection hidden="1"/>
    </xf>
    <xf numFmtId="0" fontId="16" fillId="6" borderId="0" xfId="3" applyFont="1" applyFill="1" applyProtection="1">
      <protection hidden="1"/>
    </xf>
    <xf numFmtId="0" fontId="16" fillId="0" borderId="0" xfId="3" applyFont="1"/>
    <xf numFmtId="0" fontId="58" fillId="4" borderId="0" xfId="3" applyFont="1" applyFill="1"/>
    <xf numFmtId="0" fontId="16" fillId="7" borderId="1" xfId="0" applyFont="1" applyFill="1" applyBorder="1" applyAlignment="1" applyProtection="1">
      <alignment horizontal="center"/>
      <protection hidden="1"/>
    </xf>
    <xf numFmtId="2" fontId="17" fillId="7" borderId="1" xfId="0" applyNumberFormat="1" applyFont="1" applyFill="1" applyBorder="1" applyAlignment="1" applyProtection="1">
      <alignment horizontal="center"/>
      <protection hidden="1"/>
    </xf>
    <xf numFmtId="10" fontId="17" fillId="2" borderId="1" xfId="0" applyNumberFormat="1" applyFont="1" applyFill="1" applyBorder="1" applyAlignment="1" applyProtection="1">
      <alignment horizontal="center"/>
      <protection hidden="1"/>
    </xf>
    <xf numFmtId="166" fontId="16" fillId="2" borderId="1" xfId="0" applyNumberFormat="1" applyFont="1" applyFill="1" applyBorder="1" applyAlignment="1" applyProtection="1">
      <alignment horizontal="right"/>
      <protection hidden="1"/>
    </xf>
    <xf numFmtId="2" fontId="17" fillId="4" borderId="0" xfId="0" applyNumberFormat="1" applyFont="1" applyFill="1" applyAlignment="1" applyProtection="1">
      <alignment horizontal="center"/>
      <protection hidden="1"/>
    </xf>
    <xf numFmtId="166" fontId="44" fillId="0" borderId="0" xfId="0" applyNumberFormat="1" applyFont="1" applyProtection="1">
      <protection hidden="1"/>
    </xf>
    <xf numFmtId="166" fontId="17" fillId="7" borderId="4" xfId="0" applyNumberFormat="1" applyFont="1" applyFill="1" applyBorder="1" applyProtection="1">
      <protection hidden="1"/>
    </xf>
    <xf numFmtId="10" fontId="16" fillId="7" borderId="5" xfId="2" applyNumberFormat="1" applyFont="1" applyFill="1" applyBorder="1" applyAlignment="1" applyProtection="1">
      <alignment horizontal="center"/>
      <protection hidden="1"/>
    </xf>
    <xf numFmtId="168" fontId="21" fillId="7" borderId="5" xfId="0" applyNumberFormat="1" applyFont="1" applyFill="1" applyBorder="1" applyAlignment="1" applyProtection="1">
      <alignment horizontal="right"/>
      <protection hidden="1"/>
    </xf>
    <xf numFmtId="168" fontId="21" fillId="0" borderId="0" xfId="0" applyNumberFormat="1" applyFont="1" applyAlignment="1" applyProtection="1">
      <alignment horizontal="right"/>
      <protection hidden="1"/>
    </xf>
    <xf numFmtId="172" fontId="16" fillId="0" borderId="0" xfId="0" applyNumberFormat="1" applyFont="1" applyProtection="1">
      <protection hidden="1"/>
    </xf>
    <xf numFmtId="166" fontId="21" fillId="7" borderId="1" xfId="0" applyNumberFormat="1" applyFont="1" applyFill="1" applyBorder="1" applyProtection="1">
      <protection locked="0" hidden="1"/>
    </xf>
    <xf numFmtId="0" fontId="62" fillId="0" borderId="0" xfId="3" applyFont="1" applyProtection="1">
      <protection hidden="1"/>
    </xf>
    <xf numFmtId="0" fontId="62" fillId="5" borderId="1" xfId="0" applyFont="1" applyFill="1" applyBorder="1" applyAlignment="1" applyProtection="1">
      <alignment horizontal="center"/>
      <protection locked="0"/>
    </xf>
    <xf numFmtId="175" fontId="62" fillId="0" borderId="0" xfId="3" applyNumberFormat="1" applyFont="1" applyProtection="1">
      <protection locked="0"/>
    </xf>
    <xf numFmtId="0" fontId="63" fillId="0" borderId="0" xfId="3" applyFont="1" applyProtection="1">
      <protection hidden="1"/>
    </xf>
    <xf numFmtId="15" fontId="62" fillId="5" borderId="1" xfId="0" applyNumberFormat="1" applyFont="1" applyFill="1" applyBorder="1" applyAlignment="1" applyProtection="1">
      <alignment horizontal="center"/>
      <protection locked="0"/>
    </xf>
    <xf numFmtId="0" fontId="62" fillId="0" borderId="0" xfId="0" applyFont="1" applyAlignment="1">
      <alignment vertical="center"/>
    </xf>
    <xf numFmtId="0" fontId="64" fillId="4" borderId="0" xfId="0" applyFont="1" applyFill="1" applyAlignment="1" applyProtection="1">
      <alignment horizontal="right"/>
      <protection hidden="1"/>
    </xf>
    <xf numFmtId="166" fontId="17" fillId="10" borderId="1" xfId="0" applyNumberFormat="1" applyFont="1" applyFill="1" applyBorder="1" applyProtection="1">
      <protection hidden="1"/>
    </xf>
    <xf numFmtId="43" fontId="24" fillId="10" borderId="1" xfId="1" applyFont="1" applyFill="1" applyBorder="1" applyAlignment="1" applyProtection="1">
      <alignment horizontal="center"/>
      <protection hidden="1"/>
    </xf>
    <xf numFmtId="168" fontId="21" fillId="0" borderId="0" xfId="0" applyNumberFormat="1" applyFont="1" applyAlignment="1" applyProtection="1">
      <alignment horizontal="center"/>
      <protection hidden="1"/>
    </xf>
    <xf numFmtId="0" fontId="21" fillId="8" borderId="17" xfId="0" applyFont="1" applyFill="1" applyBorder="1" applyAlignment="1" applyProtection="1">
      <alignment horizontal="center" wrapText="1"/>
      <protection hidden="1"/>
    </xf>
    <xf numFmtId="0" fontId="16" fillId="8" borderId="18" xfId="0" applyFont="1" applyFill="1" applyBorder="1" applyAlignment="1" applyProtection="1">
      <alignment horizontal="center" wrapText="1"/>
      <protection hidden="1"/>
    </xf>
    <xf numFmtId="0" fontId="16" fillId="8" borderId="19" xfId="0" applyFont="1" applyFill="1" applyBorder="1" applyAlignment="1" applyProtection="1">
      <alignment horizontal="center" wrapText="1"/>
      <protection hidden="1"/>
    </xf>
    <xf numFmtId="0" fontId="16" fillId="8" borderId="20" xfId="0" applyFont="1" applyFill="1" applyBorder="1" applyAlignment="1" applyProtection="1">
      <alignment horizontal="center" wrapText="1"/>
      <protection hidden="1"/>
    </xf>
    <xf numFmtId="0" fontId="16" fillId="8" borderId="0" xfId="0" applyFont="1" applyFill="1" applyAlignment="1" applyProtection="1">
      <alignment horizontal="center" wrapText="1"/>
      <protection hidden="1"/>
    </xf>
    <xf numFmtId="0" fontId="16" fillId="8" borderId="21" xfId="0" applyFont="1" applyFill="1" applyBorder="1" applyAlignment="1" applyProtection="1">
      <alignment horizontal="center" wrapText="1"/>
      <protection hidden="1"/>
    </xf>
    <xf numFmtId="0" fontId="16" fillId="8" borderId="22" xfId="0" applyFont="1" applyFill="1" applyBorder="1" applyAlignment="1" applyProtection="1">
      <alignment horizontal="center" wrapText="1"/>
      <protection hidden="1"/>
    </xf>
    <xf numFmtId="0" fontId="16" fillId="8" borderId="23" xfId="0" applyFont="1" applyFill="1" applyBorder="1" applyAlignment="1" applyProtection="1">
      <alignment horizontal="center" wrapText="1"/>
      <protection hidden="1"/>
    </xf>
    <xf numFmtId="0" fontId="16" fillId="8" borderId="24" xfId="0" applyFont="1" applyFill="1" applyBorder="1" applyAlignment="1" applyProtection="1">
      <alignment horizontal="center" wrapText="1"/>
      <protection hidden="1"/>
    </xf>
    <xf numFmtId="0" fontId="21" fillId="4" borderId="0" xfId="0" applyFont="1" applyFill="1" applyAlignment="1" applyProtection="1">
      <alignment horizontal="center" vertical="center" wrapText="1"/>
      <protection hidden="1"/>
    </xf>
    <xf numFmtId="0" fontId="57" fillId="4" borderId="0" xfId="0" applyFont="1" applyFill="1" applyAlignment="1" applyProtection="1">
      <alignment horizontal="center"/>
      <protection hidden="1"/>
    </xf>
    <xf numFmtId="0" fontId="45" fillId="4" borderId="0" xfId="0" applyFont="1" applyFill="1" applyAlignment="1" applyProtection="1">
      <alignment horizontal="center"/>
      <protection hidden="1"/>
    </xf>
    <xf numFmtId="0" fontId="46" fillId="8" borderId="18" xfId="0" applyFont="1" applyFill="1" applyBorder="1" applyAlignment="1" applyProtection="1">
      <alignment horizontal="center"/>
      <protection hidden="1"/>
    </xf>
    <xf numFmtId="0" fontId="16" fillId="5" borderId="17" xfId="0" applyFont="1" applyFill="1" applyBorder="1" applyAlignment="1" applyProtection="1">
      <alignment horizontal="center" vertical="center"/>
      <protection hidden="1"/>
    </xf>
    <xf numFmtId="0" fontId="16" fillId="5" borderId="18" xfId="0" applyFont="1" applyFill="1" applyBorder="1" applyAlignment="1" applyProtection="1">
      <alignment horizontal="center" vertical="center"/>
      <protection hidden="1"/>
    </xf>
    <xf numFmtId="0" fontId="16" fillId="5" borderId="19" xfId="0" applyFont="1" applyFill="1" applyBorder="1" applyAlignment="1" applyProtection="1">
      <alignment horizontal="center" vertical="center"/>
      <protection hidden="1"/>
    </xf>
    <xf numFmtId="0" fontId="16" fillId="7" borderId="20" xfId="0" applyFont="1" applyFill="1" applyBorder="1" applyAlignment="1" applyProtection="1">
      <alignment horizontal="center" vertical="center"/>
      <protection hidden="1"/>
    </xf>
    <xf numFmtId="0" fontId="16" fillId="7" borderId="0" xfId="0" applyFont="1" applyFill="1" applyAlignment="1" applyProtection="1">
      <alignment horizontal="center" vertical="center"/>
      <protection hidden="1"/>
    </xf>
    <xf numFmtId="0" fontId="16" fillId="7" borderId="21" xfId="0" applyFont="1" applyFill="1" applyBorder="1" applyAlignment="1" applyProtection="1">
      <alignment horizontal="center" vertical="center"/>
      <protection hidden="1"/>
    </xf>
    <xf numFmtId="0" fontId="16" fillId="8" borderId="22" xfId="0" applyFont="1" applyFill="1" applyBorder="1" applyAlignment="1" applyProtection="1">
      <alignment horizontal="center" vertical="center"/>
      <protection hidden="1"/>
    </xf>
    <xf numFmtId="0" fontId="16" fillId="8" borderId="23" xfId="0" applyFont="1" applyFill="1" applyBorder="1" applyAlignment="1" applyProtection="1">
      <alignment horizontal="center" vertical="center"/>
      <protection hidden="1"/>
    </xf>
    <xf numFmtId="0" fontId="16" fillId="8" borderId="24" xfId="0" applyFont="1" applyFill="1" applyBorder="1" applyAlignment="1" applyProtection="1">
      <alignment horizontal="center" vertical="center"/>
      <protection hidden="1"/>
    </xf>
    <xf numFmtId="0" fontId="17" fillId="4" borderId="23" xfId="0" applyFont="1" applyFill="1" applyBorder="1" applyAlignment="1" applyProtection="1">
      <alignment horizontal="center"/>
      <protection hidden="1"/>
    </xf>
    <xf numFmtId="0" fontId="48" fillId="0" borderId="0" xfId="0" applyFont="1" applyAlignment="1" applyProtection="1">
      <alignment horizontal="center" vertical="center" wrapText="1"/>
      <protection hidden="1"/>
    </xf>
    <xf numFmtId="0" fontId="16" fillId="0" borderId="2" xfId="0" applyFont="1" applyBorder="1" applyAlignment="1" applyProtection="1">
      <alignment horizontal="center"/>
      <protection hidden="1"/>
    </xf>
    <xf numFmtId="0" fontId="16" fillId="0" borderId="0" xfId="0" applyFont="1" applyAlignment="1" applyProtection="1">
      <alignment horizontal="center"/>
      <protection hidden="1"/>
    </xf>
    <xf numFmtId="0" fontId="21" fillId="0" borderId="0" xfId="0" applyFont="1" applyAlignment="1" applyProtection="1">
      <alignment horizontal="center" wrapText="1"/>
      <protection hidden="1"/>
    </xf>
    <xf numFmtId="0" fontId="18" fillId="0" borderId="0" xfId="0" applyFont="1" applyAlignment="1" applyProtection="1">
      <alignment horizontal="right"/>
      <protection hidden="1"/>
    </xf>
    <xf numFmtId="0" fontId="22" fillId="0" borderId="0" xfId="0" applyFont="1" applyAlignment="1" applyProtection="1">
      <alignment horizontal="center"/>
      <protection hidden="1"/>
    </xf>
    <xf numFmtId="0" fontId="17" fillId="0" borderId="0" xfId="0" applyFont="1" applyAlignment="1" applyProtection="1">
      <alignment horizontal="center"/>
      <protection hidden="1"/>
    </xf>
    <xf numFmtId="0" fontId="21" fillId="0" borderId="9" xfId="0" applyFont="1" applyBorder="1" applyAlignment="1" applyProtection="1">
      <alignment horizontal="center" wrapText="1"/>
      <protection hidden="1"/>
    </xf>
    <xf numFmtId="0" fontId="18" fillId="0" borderId="0" xfId="0" applyFont="1" applyAlignment="1" applyProtection="1">
      <alignment horizontal="right" vertical="center"/>
      <protection hidden="1"/>
    </xf>
    <xf numFmtId="0" fontId="54" fillId="8" borderId="17" xfId="0" applyFont="1" applyFill="1" applyBorder="1" applyAlignment="1" applyProtection="1">
      <alignment horizontal="left" vertical="top" wrapText="1"/>
      <protection hidden="1"/>
    </xf>
    <xf numFmtId="0" fontId="54" fillId="8" borderId="18" xfId="0" applyFont="1" applyFill="1" applyBorder="1" applyAlignment="1" applyProtection="1">
      <alignment horizontal="left" vertical="top" wrapText="1"/>
      <protection hidden="1"/>
    </xf>
    <xf numFmtId="0" fontId="54" fillId="8" borderId="19" xfId="0" applyFont="1" applyFill="1" applyBorder="1" applyAlignment="1" applyProtection="1">
      <alignment horizontal="left" vertical="top" wrapText="1"/>
      <protection hidden="1"/>
    </xf>
    <xf numFmtId="0" fontId="54" fillId="8" borderId="20" xfId="0" applyFont="1" applyFill="1" applyBorder="1" applyAlignment="1" applyProtection="1">
      <alignment horizontal="left" vertical="top" wrapText="1"/>
      <protection hidden="1"/>
    </xf>
    <xf numFmtId="0" fontId="54" fillId="8" borderId="0" xfId="0" applyFont="1" applyFill="1" applyAlignment="1" applyProtection="1">
      <alignment horizontal="left" vertical="top" wrapText="1"/>
      <protection hidden="1"/>
    </xf>
    <xf numFmtId="0" fontId="54" fillId="8" borderId="21" xfId="0" applyFont="1" applyFill="1" applyBorder="1" applyAlignment="1" applyProtection="1">
      <alignment horizontal="left" vertical="top" wrapText="1"/>
      <protection hidden="1"/>
    </xf>
    <xf numFmtId="0" fontId="54" fillId="8" borderId="22" xfId="0" applyFont="1" applyFill="1" applyBorder="1" applyAlignment="1" applyProtection="1">
      <alignment horizontal="left" vertical="top" wrapText="1"/>
      <protection hidden="1"/>
    </xf>
    <xf numFmtId="0" fontId="54" fillId="8" borderId="23" xfId="0" applyFont="1" applyFill="1" applyBorder="1" applyAlignment="1" applyProtection="1">
      <alignment horizontal="left" vertical="top" wrapText="1"/>
      <protection hidden="1"/>
    </xf>
    <xf numFmtId="0" fontId="54" fillId="8" borderId="24" xfId="0" applyFont="1" applyFill="1" applyBorder="1" applyAlignment="1" applyProtection="1">
      <alignment horizontal="left" vertical="top" wrapText="1"/>
      <protection hidden="1"/>
    </xf>
    <xf numFmtId="0" fontId="52" fillId="0" borderId="0" xfId="3" applyFont="1" applyAlignment="1" applyProtection="1">
      <alignment horizontal="left" vertical="top" wrapText="1"/>
      <protection hidden="1"/>
    </xf>
    <xf numFmtId="0" fontId="52" fillId="0" borderId="0" xfId="3" applyFont="1" applyAlignment="1" applyProtection="1">
      <alignment horizontal="left" wrapText="1"/>
      <protection hidden="1"/>
    </xf>
    <xf numFmtId="0" fontId="19" fillId="0" borderId="0" xfId="0" applyFont="1" applyAlignment="1" applyProtection="1">
      <alignment horizontal="left" vertical="center" wrapText="1"/>
      <protection hidden="1"/>
    </xf>
    <xf numFmtId="0" fontId="18" fillId="0" borderId="0" xfId="0" applyFont="1" applyAlignment="1" applyProtection="1">
      <alignment horizontal="center"/>
      <protection hidden="1"/>
    </xf>
    <xf numFmtId="171" fontId="17" fillId="7" borderId="4" xfId="2" applyNumberFormat="1" applyFont="1" applyFill="1" applyBorder="1" applyAlignment="1" applyProtection="1">
      <alignment horizontal="center"/>
      <protection hidden="1"/>
    </xf>
    <xf numFmtId="171" fontId="17" fillId="7" borderId="12" xfId="2" applyNumberFormat="1" applyFont="1" applyFill="1" applyBorder="1" applyAlignment="1" applyProtection="1">
      <alignment horizontal="center"/>
      <protection hidden="1"/>
    </xf>
    <xf numFmtId="169" fontId="17" fillId="7" borderId="4" xfId="0" applyNumberFormat="1" applyFont="1" applyFill="1" applyBorder="1" applyAlignment="1" applyProtection="1">
      <alignment horizontal="center"/>
      <protection hidden="1"/>
    </xf>
    <xf numFmtId="169" fontId="17" fillId="7" borderId="12" xfId="0" applyNumberFormat="1" applyFont="1" applyFill="1" applyBorder="1" applyAlignment="1" applyProtection="1">
      <alignment horizontal="center"/>
      <protection hidden="1"/>
    </xf>
    <xf numFmtId="0" fontId="17" fillId="0" borderId="0" xfId="0" applyFont="1" applyAlignment="1" applyProtection="1">
      <alignment horizontal="center" vertical="center" wrapText="1"/>
      <protection hidden="1"/>
    </xf>
    <xf numFmtId="0" fontId="17" fillId="0" borderId="9" xfId="0" applyFont="1" applyBorder="1" applyAlignment="1" applyProtection="1">
      <alignment horizontal="center" vertical="center" wrapText="1"/>
      <protection hidden="1"/>
    </xf>
    <xf numFmtId="0" fontId="0" fillId="0" borderId="9" xfId="0" applyBorder="1" applyAlignment="1" applyProtection="1">
      <alignment horizontal="center" vertical="center"/>
      <protection hidden="1"/>
    </xf>
    <xf numFmtId="0" fontId="8" fillId="0" borderId="0" xfId="0" applyFont="1" applyAlignment="1" applyProtection="1">
      <alignment horizontal="center"/>
      <protection hidden="1"/>
    </xf>
    <xf numFmtId="3" fontId="1" fillId="0" borderId="9" xfId="0" applyNumberFormat="1" applyFont="1" applyBorder="1" applyAlignment="1" applyProtection="1">
      <alignment horizontal="right" indent="1"/>
      <protection hidden="1"/>
    </xf>
    <xf numFmtId="0" fontId="1" fillId="0" borderId="9" xfId="0" applyFont="1" applyBorder="1" applyAlignment="1" applyProtection="1">
      <alignment horizontal="right" indent="1"/>
      <protection hidden="1"/>
    </xf>
    <xf numFmtId="0" fontId="4" fillId="0" borderId="0" xfId="0" applyFont="1" applyAlignment="1" applyProtection="1">
      <alignment horizontal="center" vertical="center"/>
      <protection hidden="1"/>
    </xf>
    <xf numFmtId="3" fontId="0" fillId="0" borderId="9" xfId="0" applyNumberFormat="1" applyBorder="1" applyAlignment="1" applyProtection="1">
      <alignment horizontal="right" vertical="center" indent="1"/>
      <protection hidden="1"/>
    </xf>
    <xf numFmtId="0" fontId="0" fillId="0" borderId="15" xfId="0" applyBorder="1" applyAlignment="1" applyProtection="1">
      <alignment horizontal="center" vertical="center"/>
      <protection hidden="1"/>
    </xf>
    <xf numFmtId="0" fontId="0" fillId="0" borderId="16" xfId="0" applyBorder="1" applyAlignment="1" applyProtection="1">
      <alignment horizontal="center" vertical="center"/>
      <protection hidden="1"/>
    </xf>
    <xf numFmtId="0" fontId="8" fillId="0" borderId="7" xfId="0" applyFont="1" applyBorder="1" applyAlignment="1" applyProtection="1">
      <alignment horizontal="center" vertical="top"/>
      <protection hidden="1"/>
    </xf>
    <xf numFmtId="49" fontId="0" fillId="0" borderId="9" xfId="0" applyNumberFormat="1" applyBorder="1" applyAlignment="1" applyProtection="1">
      <alignment horizontal="center" vertical="center"/>
      <protection hidden="1"/>
    </xf>
    <xf numFmtId="3" fontId="0" fillId="0" borderId="0" xfId="0" applyNumberFormat="1" applyAlignment="1" applyProtection="1">
      <alignment horizontal="right" vertical="center" indent="1"/>
      <protection hidden="1"/>
    </xf>
    <xf numFmtId="164" fontId="7" fillId="0" borderId="0" xfId="0" applyNumberFormat="1" applyFont="1" applyAlignment="1" applyProtection="1">
      <alignment horizontal="center"/>
      <protection hidden="1"/>
    </xf>
    <xf numFmtId="164" fontId="0" fillId="0" borderId="0" xfId="0" applyNumberFormat="1" applyAlignment="1" applyProtection="1">
      <alignment horizontal="center"/>
      <protection hidden="1"/>
    </xf>
    <xf numFmtId="0" fontId="7" fillId="0" borderId="9" xfId="0" applyFont="1" applyBorder="1" applyAlignment="1" applyProtection="1">
      <alignment horizontal="center"/>
      <protection hidden="1"/>
    </xf>
    <xf numFmtId="0" fontId="0" fillId="0" borderId="9" xfId="0" applyBorder="1" applyAlignment="1" applyProtection="1">
      <alignment horizontal="center"/>
      <protection hidden="1"/>
    </xf>
    <xf numFmtId="0" fontId="7" fillId="0" borderId="9" xfId="0" applyFont="1" applyBorder="1" applyAlignment="1" applyProtection="1">
      <alignment horizontal="center" vertical="center"/>
      <protection hidden="1"/>
    </xf>
    <xf numFmtId="0" fontId="17" fillId="0" borderId="0" xfId="3" applyFont="1" applyAlignment="1" applyProtection="1">
      <alignment horizontal="center" vertical="center"/>
      <protection hidden="1"/>
    </xf>
    <xf numFmtId="177" fontId="16" fillId="0" borderId="0" xfId="3" applyNumberFormat="1" applyFont="1" applyAlignment="1" applyProtection="1">
      <alignment horizontal="left"/>
      <protection hidden="1"/>
    </xf>
    <xf numFmtId="0" fontId="16" fillId="4" borderId="0" xfId="3" applyFont="1" applyFill="1" applyAlignment="1" applyProtection="1">
      <alignment horizontal="left" wrapText="1"/>
      <protection hidden="1"/>
    </xf>
  </cellXfs>
  <cellStyles count="5">
    <cellStyle name="Comma" xfId="1" builtinId="3"/>
    <cellStyle name="Hyperlink" xfId="4" builtinId="8"/>
    <cellStyle name="Normal" xfId="0" builtinId="0"/>
    <cellStyle name="Normal 2" xfId="3" xr:uid="{FC595676-BCCC-4D4A-82FB-95880FBE8106}"/>
    <cellStyle name="Percent" xfId="2" builtinId="5"/>
  </cellStyles>
  <dxfs count="106">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dxf>
    <dxf>
      <font>
        <color theme="0"/>
      </font>
    </dxf>
    <dxf>
      <fill>
        <patternFill>
          <bgColor rgb="FFCCFFCC"/>
        </patternFill>
      </fill>
    </dxf>
    <dxf>
      <font>
        <color theme="0"/>
      </font>
      <fill>
        <patternFill patternType="none">
          <bgColor auto="1"/>
        </patternFill>
      </fill>
      <border>
        <left/>
        <right/>
        <top/>
        <bottom style="thin">
          <color auto="1"/>
        </bottom>
        <vertical/>
        <horizontal/>
      </border>
    </dxf>
    <dxf>
      <font>
        <color theme="0"/>
      </font>
      <fill>
        <patternFill>
          <bgColor theme="0"/>
        </patternFill>
      </fill>
      <border>
        <left/>
        <right/>
        <top/>
        <bottom/>
        <vertical/>
        <horizontal/>
      </border>
    </dxf>
    <dxf>
      <font>
        <condense val="0"/>
        <extend val="0"/>
        <color indexed="9"/>
      </font>
      <fill>
        <patternFill>
          <bgColor indexed="9"/>
        </patternFill>
      </fill>
      <border>
        <left/>
        <right/>
        <top/>
        <bottom/>
      </border>
    </dxf>
    <dxf>
      <font>
        <color theme="0"/>
      </font>
    </dxf>
    <dxf>
      <font>
        <color theme="0"/>
      </font>
    </dxf>
    <dxf>
      <font>
        <color auto="1"/>
      </font>
      <fill>
        <patternFill>
          <bgColor theme="5" tint="0.59996337778862885"/>
        </patternFill>
      </fill>
    </dxf>
    <dxf>
      <fill>
        <patternFill>
          <bgColor theme="5" tint="0.59996337778862885"/>
        </patternFill>
      </fill>
    </dxf>
    <dxf>
      <fill>
        <patternFill>
          <bgColor theme="5" tint="0.59996337778862885"/>
        </patternFill>
      </fill>
    </dxf>
    <dxf>
      <font>
        <color theme="0"/>
      </font>
      <fill>
        <patternFill>
          <bgColor theme="0"/>
        </patternFill>
      </fill>
    </dxf>
    <dxf>
      <fill>
        <patternFill>
          <bgColor theme="5" tint="0.59996337778862885"/>
        </patternFill>
      </fill>
    </dxf>
    <dxf>
      <font>
        <color auto="1"/>
      </font>
      <fill>
        <patternFill>
          <bgColor rgb="FFCCFFCC"/>
        </patternFill>
      </fill>
    </dxf>
    <dxf>
      <font>
        <color theme="0"/>
      </font>
      <fill>
        <patternFill>
          <bgColor theme="0"/>
        </patternFill>
      </fill>
    </dxf>
    <dxf>
      <fill>
        <patternFill>
          <bgColor theme="4" tint="0.79998168889431442"/>
        </patternFill>
      </fill>
    </dxf>
    <dxf>
      <fill>
        <patternFill>
          <bgColor theme="5" tint="0.59996337778862885"/>
        </patternFill>
      </fill>
    </dxf>
    <dxf>
      <font>
        <color theme="0"/>
      </font>
    </dxf>
    <dxf>
      <fill>
        <patternFill>
          <bgColor theme="4" tint="0.79998168889431442"/>
        </patternFill>
      </fill>
    </dxf>
    <dxf>
      <fill>
        <patternFill>
          <bgColor theme="5" tint="0.59996337778862885"/>
        </patternFill>
      </fill>
    </dxf>
    <dxf>
      <font>
        <color rgb="FF9C0006"/>
      </font>
      <fill>
        <patternFill>
          <bgColor theme="5" tint="0.59996337778862885"/>
        </patternFill>
      </fill>
      <border>
        <left style="thin">
          <color auto="1"/>
        </left>
        <right style="thin">
          <color auto="1"/>
        </right>
        <top style="thin">
          <color auto="1"/>
        </top>
        <bottom style="thin">
          <color auto="1"/>
        </bottom>
      </border>
    </dxf>
    <dxf>
      <font>
        <color rgb="FF9C0006"/>
      </font>
      <fill>
        <patternFill>
          <bgColor theme="5" tint="0.59996337778862885"/>
        </patternFill>
      </fill>
    </dxf>
    <dxf>
      <font>
        <condense val="0"/>
        <extend val="0"/>
        <color indexed="9"/>
      </font>
      <fill>
        <patternFill>
          <bgColor indexed="9"/>
        </patternFill>
      </fill>
      <border>
        <left/>
        <right/>
        <top/>
        <bottom/>
      </border>
    </dxf>
    <dxf>
      <font>
        <color theme="0"/>
      </font>
      <fill>
        <patternFill patternType="none">
          <bgColor auto="1"/>
        </patternFill>
      </fill>
      <border>
        <left/>
        <right/>
        <top style="thin">
          <color auto="1"/>
        </top>
        <bottom style="thin">
          <color auto="1"/>
        </bottom>
        <vertical/>
        <horizontal/>
      </border>
    </dxf>
    <dxf>
      <fill>
        <patternFill>
          <bgColor theme="5" tint="0.59996337778862885"/>
        </patternFill>
      </fill>
    </dxf>
    <dxf>
      <font>
        <color theme="0"/>
      </font>
      <fill>
        <patternFill patternType="none">
          <bgColor auto="1"/>
        </patternFill>
      </fill>
      <border>
        <left/>
        <right/>
        <top style="thin">
          <color auto="1"/>
        </top>
        <bottom style="thin">
          <color auto="1"/>
        </bottom>
        <vertical/>
        <horizontal/>
      </border>
    </dxf>
    <dxf>
      <font>
        <condense val="0"/>
        <extend val="0"/>
        <color indexed="42"/>
      </font>
      <fill>
        <patternFill>
          <bgColor indexed="42"/>
        </patternFill>
      </fill>
      <border>
        <left/>
        <right/>
        <top/>
        <bottom/>
      </border>
    </dxf>
    <dxf>
      <font>
        <color rgb="FF9C0006"/>
      </font>
      <fill>
        <patternFill>
          <bgColor rgb="FFFFC7CE"/>
        </patternFill>
      </fill>
    </dxf>
    <dxf>
      <font>
        <color theme="0"/>
      </font>
    </dxf>
    <dxf>
      <font>
        <condense val="0"/>
        <extend val="0"/>
        <color indexed="42"/>
      </font>
    </dxf>
    <dxf>
      <font>
        <color theme="0"/>
      </font>
    </dxf>
    <dxf>
      <font>
        <color theme="0"/>
      </font>
    </dxf>
    <dxf>
      <font>
        <condense val="0"/>
        <extend val="0"/>
        <color indexed="42"/>
      </font>
    </dxf>
    <dxf>
      <font>
        <color rgb="FF9C0006"/>
      </font>
      <fill>
        <patternFill>
          <bgColor rgb="FFFFC7CE"/>
        </patternFill>
      </fill>
    </dxf>
    <dxf>
      <font>
        <color auto="1"/>
      </font>
      <fill>
        <patternFill>
          <bgColor theme="4" tint="0.79998168889431442"/>
        </patternFill>
      </fill>
    </dxf>
    <dxf>
      <font>
        <condense val="0"/>
        <extend val="0"/>
        <color indexed="9"/>
      </font>
      <fill>
        <patternFill>
          <bgColor indexed="9"/>
        </patternFill>
      </fill>
      <border>
        <left/>
        <right/>
        <top/>
        <bottom/>
      </border>
    </dxf>
    <dxf>
      <font>
        <color theme="0"/>
      </font>
      <fill>
        <patternFill>
          <bgColor theme="0"/>
        </patternFill>
      </fill>
      <border>
        <left/>
        <right/>
        <top/>
        <bottom/>
        <vertical/>
        <horizontal/>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dxf>
    <dxf>
      <font>
        <color theme="0"/>
      </font>
    </dxf>
    <dxf>
      <fill>
        <patternFill>
          <bgColor rgb="FFCCFFCC"/>
        </patternFill>
      </fill>
    </dxf>
    <dxf>
      <font>
        <color theme="0"/>
      </font>
      <fill>
        <patternFill patternType="none">
          <bgColor auto="1"/>
        </patternFill>
      </fill>
      <border>
        <left/>
        <right/>
        <top/>
        <bottom style="thin">
          <color auto="1"/>
        </bottom>
        <vertical/>
        <horizontal/>
      </border>
    </dxf>
    <dxf>
      <font>
        <color theme="0"/>
      </font>
      <fill>
        <patternFill>
          <bgColor theme="0"/>
        </patternFill>
      </fill>
      <border>
        <left/>
        <right/>
        <top/>
        <bottom/>
        <vertical/>
        <horizontal/>
      </border>
    </dxf>
    <dxf>
      <font>
        <color theme="0"/>
      </font>
      <fill>
        <patternFill patternType="none">
          <bgColor auto="1"/>
        </patternFill>
      </fill>
      <border>
        <left/>
        <right/>
        <top/>
        <bottom/>
        <vertical/>
        <horizontal/>
      </border>
    </dxf>
    <dxf>
      <font>
        <b/>
        <i val="0"/>
        <condense val="0"/>
        <extend val="0"/>
        <color auto="1"/>
      </font>
      <fill>
        <patternFill>
          <bgColor theme="5" tint="0.59996337778862885"/>
        </patternFill>
      </fill>
    </dxf>
    <dxf>
      <fill>
        <patternFill>
          <bgColor theme="1"/>
        </patternFill>
      </fill>
    </dxf>
    <dxf>
      <fill>
        <patternFill>
          <bgColor theme="5" tint="0.59996337778862885"/>
        </patternFill>
      </fill>
      <border>
        <left style="thin">
          <color auto="1"/>
        </left>
        <right style="thin">
          <color auto="1"/>
        </right>
        <top style="thin">
          <color auto="1"/>
        </top>
        <bottom style="thin">
          <color auto="1"/>
        </bottom>
      </border>
    </dxf>
    <dxf>
      <fill>
        <patternFill>
          <bgColor theme="4" tint="0.79998168889431442"/>
        </patternFill>
      </fill>
      <border>
        <left style="thin">
          <color auto="1"/>
        </left>
        <right style="thin">
          <color auto="1"/>
        </right>
        <top style="thin">
          <color auto="1"/>
        </top>
        <bottom style="thin">
          <color auto="1"/>
        </bottom>
        <vertical/>
        <horizontal/>
      </border>
    </dxf>
    <dxf>
      <fill>
        <patternFill>
          <bgColor theme="5" tint="0.59996337778862885"/>
        </patternFill>
      </fill>
      <border>
        <left style="thin">
          <color auto="1"/>
        </left>
        <right style="thin">
          <color auto="1"/>
        </right>
        <top style="thin">
          <color auto="1"/>
        </top>
        <bottom style="thin">
          <color auto="1"/>
        </bottom>
      </border>
    </dxf>
    <dxf>
      <fill>
        <patternFill>
          <bgColor theme="4" tint="0.79998168889431442"/>
        </patternFill>
      </fill>
      <border>
        <left style="thin">
          <color auto="1"/>
        </left>
        <right style="thin">
          <color auto="1"/>
        </right>
        <top style="thin">
          <color auto="1"/>
        </top>
        <bottom style="thin">
          <color auto="1"/>
        </bottom>
        <vertical/>
        <horizontal/>
      </border>
    </dxf>
    <dxf>
      <font>
        <color theme="0"/>
      </font>
    </dxf>
    <dxf>
      <font>
        <color theme="0"/>
      </font>
      <fill>
        <patternFill>
          <bgColor theme="0"/>
        </patternFill>
      </fill>
    </dxf>
    <dxf>
      <fill>
        <patternFill>
          <bgColor theme="1"/>
        </patternFill>
      </fill>
    </dxf>
    <dxf>
      <fill>
        <patternFill>
          <bgColor theme="1"/>
        </patternFill>
      </fill>
    </dxf>
    <dxf>
      <font>
        <b/>
        <i val="0"/>
        <condense val="0"/>
        <extend val="0"/>
        <color auto="1"/>
      </font>
      <fill>
        <patternFill>
          <bgColor theme="5" tint="0.59996337778862885"/>
        </patternFill>
      </fill>
    </dxf>
    <dxf>
      <font>
        <color theme="0"/>
      </font>
      <fill>
        <patternFill>
          <bgColor theme="0"/>
        </patternFill>
      </fill>
    </dxf>
    <dxf>
      <font>
        <color theme="0"/>
      </font>
    </dxf>
    <dxf>
      <font>
        <color theme="0"/>
      </font>
      <fill>
        <patternFill>
          <bgColor theme="0"/>
        </patternFill>
      </fill>
      <border>
        <left/>
        <right/>
        <top/>
        <bottom style="thin">
          <color auto="1"/>
        </bottom>
        <vertical/>
        <horizontal/>
      </border>
    </dxf>
    <dxf>
      <font>
        <color theme="0"/>
      </font>
      <fill>
        <patternFill>
          <bgColor theme="0"/>
        </patternFill>
      </fill>
      <border>
        <left/>
        <right/>
        <top/>
        <bottom/>
        <vertical/>
        <horizontal/>
      </border>
    </dxf>
    <dxf>
      <fill>
        <patternFill>
          <bgColor theme="5" tint="0.59996337778862885"/>
        </patternFill>
      </fill>
    </dxf>
    <dxf>
      <font>
        <color theme="0"/>
      </font>
    </dxf>
    <dxf>
      <font>
        <color theme="0"/>
      </font>
      <fill>
        <patternFill>
          <bgColor theme="0"/>
        </patternFill>
      </fill>
      <border>
        <left style="thin">
          <color auto="1"/>
        </left>
        <right/>
        <top/>
        <bottom/>
        <vertical/>
        <horizontal/>
      </border>
    </dxf>
    <dxf>
      <font>
        <color theme="0"/>
      </font>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1"/>
        </patternFill>
      </fill>
    </dxf>
    <dxf>
      <fill>
        <patternFill>
          <bgColor theme="1"/>
        </patternFill>
      </fill>
    </dxf>
    <dxf>
      <font>
        <color theme="0"/>
      </font>
      <fill>
        <patternFill>
          <bgColor theme="0"/>
        </patternFill>
      </fill>
      <border>
        <left/>
        <right/>
        <top/>
        <bottom/>
        <vertical/>
        <horizontal/>
      </border>
    </dxf>
    <dxf>
      <font>
        <condense val="0"/>
        <extend val="0"/>
        <color indexed="9"/>
      </font>
    </dxf>
    <dxf>
      <font>
        <condense val="0"/>
        <extend val="0"/>
        <color indexed="9"/>
      </font>
      <fill>
        <patternFill>
          <bgColor indexed="9"/>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ill>
        <patternFill>
          <bgColor theme="0"/>
        </patternFill>
      </fill>
      <border>
        <left/>
        <right/>
        <top/>
        <bottom/>
      </border>
    </dxf>
    <dxf>
      <fill>
        <patternFill>
          <bgColor theme="0"/>
        </patternFill>
      </fill>
      <border>
        <left/>
        <right/>
        <top/>
        <bottom/>
      </border>
    </dxf>
    <dxf>
      <fill>
        <patternFill>
          <bgColor theme="0"/>
        </patternFill>
      </fill>
      <border>
        <left/>
        <right/>
        <top/>
        <bottom/>
      </border>
    </dxf>
    <dxf>
      <fill>
        <patternFill>
          <bgColor theme="0"/>
        </patternFill>
      </fill>
    </dxf>
    <dxf>
      <fill>
        <patternFill patternType="solid">
          <bgColor theme="0"/>
        </patternFill>
      </fill>
      <border>
        <left/>
        <right/>
        <top/>
        <bottom/>
      </border>
    </dxf>
    <dxf>
      <fill>
        <patternFill>
          <bgColor rgb="FFCCFFCC"/>
        </patternFill>
      </fill>
    </dxf>
    <dxf>
      <fill>
        <patternFill patternType="solid">
          <bgColor theme="0"/>
        </patternFill>
      </fill>
      <border>
        <left/>
        <right/>
        <top/>
        <bottom/>
      </border>
    </dxf>
    <dxf>
      <fill>
        <patternFill>
          <bgColor rgb="FFCCFFCC"/>
        </patternFill>
      </fill>
    </dxf>
    <dxf>
      <fill>
        <patternFill patternType="solid">
          <bgColor theme="0"/>
        </patternFill>
      </fill>
      <border>
        <left/>
        <right/>
        <top/>
        <bottom/>
      </border>
    </dxf>
    <dxf>
      <fill>
        <patternFill>
          <bgColor theme="0"/>
        </patternFill>
      </fill>
      <border>
        <left/>
        <right/>
        <top/>
        <bottom/>
      </border>
    </dxf>
    <dxf>
      <font>
        <color theme="0"/>
      </font>
      <border>
        <left style="thin">
          <color auto="1"/>
        </left>
        <right/>
        <top/>
        <bottom/>
        <vertical/>
        <horizontal/>
      </border>
    </dxf>
    <dxf>
      <font>
        <color theme="5" tint="0.59996337778862885"/>
      </font>
      <fill>
        <patternFill>
          <bgColor theme="1"/>
        </patternFill>
      </fill>
    </dxf>
    <dxf>
      <font>
        <color theme="5" tint="0.59996337778862885"/>
      </font>
      <fill>
        <patternFill>
          <bgColor theme="1"/>
        </patternFill>
      </fill>
    </dxf>
    <dxf>
      <font>
        <color theme="0"/>
      </font>
      <fill>
        <patternFill>
          <bgColor theme="0"/>
        </patternFill>
      </fill>
      <border>
        <left/>
        <right/>
        <top/>
        <bottom/>
      </border>
    </dxf>
    <dxf>
      <font>
        <color theme="0"/>
      </font>
      <fill>
        <patternFill>
          <bgColor theme="0"/>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DCE6F1"/>
      <color rgb="FFCCFFCC"/>
      <color rgb="FFFFFFCC"/>
      <color rgb="FFFFFF99"/>
      <color rgb="FFFFCC99"/>
      <color rgb="FFFFCC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cid:image001.gif@01CC8829.1FDF8240" TargetMode="Externa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219075</xdr:colOff>
      <xdr:row>1</xdr:row>
      <xdr:rowOff>118110</xdr:rowOff>
    </xdr:from>
    <xdr:to>
      <xdr:col>8</xdr:col>
      <xdr:colOff>104775</xdr:colOff>
      <xdr:row>27</xdr:row>
      <xdr:rowOff>66711</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9075" y="285750"/>
          <a:ext cx="4762500" cy="4152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rPr>
            <a:t>Important Disclaimer</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This Levy Calculation Form is a worksheet that allows the District to calculate and analyze the available levy and extension amounts and is prepared for informational purposes only. Reasonable efforts and generally accepted methods of calculation have been incorporated into the spreadsheets. However, PMA Securities, LLC takes no responsibility for the accuracy of the output and it is highly recommended that users verify calculations independently. The data input, projections, and assumptions provided in this form are based on the information provided by the District. PMA will not verify the accuracy of the data provided by the District and is not responsible for any inaccuracies or incompleteness that appears in the data provided in this form.  </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Furthermore, the Levy Calculation Form includes a copy of the Illinois State Board of Education Certificate of Tax Levy which is approved for use in 2006.  PMA believes this Levy Calculation Form to be current, but the District should verify that with the Illinois State Board of Education.</a:t>
          </a:r>
        </a:p>
        <a:p>
          <a:r>
            <a:rPr lang="en-US" sz="1100">
              <a:solidFill>
                <a:schemeClr val="dk1"/>
              </a:solidFill>
              <a:effectLst/>
              <a:latin typeface="+mn-lt"/>
              <a:ea typeface="+mn-ea"/>
              <a:cs typeface="+mn-cs"/>
            </a:rPr>
            <a:t> </a:t>
          </a:r>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9</xdr:col>
          <xdr:colOff>488950</xdr:colOff>
          <xdr:row>54</xdr:row>
          <xdr:rowOff>317500</xdr:rowOff>
        </xdr:to>
        <xdr:sp macro="" textlink="">
          <xdr:nvSpPr>
            <xdr:cNvPr id="3075" name="Object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55</xdr:row>
          <xdr:rowOff>0</xdr:rowOff>
        </xdr:from>
        <xdr:to>
          <xdr:col>9</xdr:col>
          <xdr:colOff>488950</xdr:colOff>
          <xdr:row>104</xdr:row>
          <xdr:rowOff>31750</xdr:rowOff>
        </xdr:to>
        <xdr:sp macro="" textlink="">
          <xdr:nvSpPr>
            <xdr:cNvPr id="3078" name="Object 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2</xdr:col>
      <xdr:colOff>238125</xdr:colOff>
      <xdr:row>20</xdr:row>
      <xdr:rowOff>95250</xdr:rowOff>
    </xdr:from>
    <xdr:to>
      <xdr:col>10</xdr:col>
      <xdr:colOff>85725</xdr:colOff>
      <xdr:row>42</xdr:row>
      <xdr:rowOff>38100</xdr:rowOff>
    </xdr:to>
    <xdr:pic>
      <xdr:nvPicPr>
        <xdr:cNvPr id="5381" name="Picture 2">
          <a:extLst>
            <a:ext uri="{FF2B5EF4-FFF2-40B4-BE49-F238E27FC236}">
              <a16:creationId xmlns:a16="http://schemas.microsoft.com/office/drawing/2014/main" id="{00000000-0008-0000-04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7325" y="3990975"/>
          <a:ext cx="4724400" cy="3705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285750</xdr:colOff>
      <xdr:row>46</xdr:row>
      <xdr:rowOff>85725</xdr:rowOff>
    </xdr:from>
    <xdr:to>
      <xdr:col>10</xdr:col>
      <xdr:colOff>228600</xdr:colOff>
      <xdr:row>70</xdr:row>
      <xdr:rowOff>47625</xdr:rowOff>
    </xdr:to>
    <xdr:pic>
      <xdr:nvPicPr>
        <xdr:cNvPr id="5382" name="Picture 3">
          <a:extLst>
            <a:ext uri="{FF2B5EF4-FFF2-40B4-BE49-F238E27FC236}">
              <a16:creationId xmlns:a16="http://schemas.microsoft.com/office/drawing/2014/main" id="{00000000-0008-0000-0400-0000061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04950" y="8429625"/>
          <a:ext cx="4819650" cy="384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304800</xdr:colOff>
      <xdr:row>70</xdr:row>
      <xdr:rowOff>152400</xdr:rowOff>
    </xdr:from>
    <xdr:to>
      <xdr:col>10</xdr:col>
      <xdr:colOff>247650</xdr:colOff>
      <xdr:row>92</xdr:row>
      <xdr:rowOff>9525</xdr:rowOff>
    </xdr:to>
    <xdr:pic>
      <xdr:nvPicPr>
        <xdr:cNvPr id="5383" name="Picture 4">
          <a:extLst>
            <a:ext uri="{FF2B5EF4-FFF2-40B4-BE49-F238E27FC236}">
              <a16:creationId xmlns:a16="http://schemas.microsoft.com/office/drawing/2014/main" id="{00000000-0008-0000-0400-0000071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24000" y="12382500"/>
          <a:ext cx="4819650" cy="3419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561975</xdr:colOff>
      <xdr:row>3</xdr:row>
      <xdr:rowOff>209550</xdr:rowOff>
    </xdr:from>
    <xdr:to>
      <xdr:col>7</xdr:col>
      <xdr:colOff>200025</xdr:colOff>
      <xdr:row>4</xdr:row>
      <xdr:rowOff>209550</xdr:rowOff>
    </xdr:to>
    <xdr:pic>
      <xdr:nvPicPr>
        <xdr:cNvPr id="5384" name="Picture 5" descr="Button image">
          <a:extLst>
            <a:ext uri="{FF2B5EF4-FFF2-40B4-BE49-F238E27FC236}">
              <a16:creationId xmlns:a16="http://schemas.microsoft.com/office/drawing/2014/main" id="{00000000-0008-0000-0400-000008150000}"/>
            </a:ext>
          </a:extLst>
        </xdr:cNvPr>
        <xdr:cNvPicPr>
          <a:picLocks noChangeAspect="1" noChangeArrowheads="1"/>
        </xdr:cNvPicPr>
      </xdr:nvPicPr>
      <xdr:blipFill>
        <a:blip xmlns:r="http://schemas.openxmlformats.org/officeDocument/2006/relationships" r:link="rId4">
          <a:extLst>
            <a:ext uri="{28A0092B-C50C-407E-A947-70E740481C1C}">
              <a14:useLocalDpi xmlns:a14="http://schemas.microsoft.com/office/drawing/2010/main" val="0"/>
            </a:ext>
          </a:extLst>
        </a:blip>
        <a:srcRect/>
        <a:stretch>
          <a:fillRect/>
        </a:stretch>
      </xdr:blipFill>
      <xdr:spPr bwMode="auto">
        <a:xfrm>
          <a:off x="4219575" y="695325"/>
          <a:ext cx="2476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317500</xdr:colOff>
      <xdr:row>19</xdr:row>
      <xdr:rowOff>7937</xdr:rowOff>
    </xdr:from>
    <xdr:to>
      <xdr:col>3</xdr:col>
      <xdr:colOff>603250</xdr:colOff>
      <xdr:row>21</xdr:row>
      <xdr:rowOff>119062</xdr:rowOff>
    </xdr:to>
    <xdr:cxnSp macro="">
      <xdr:nvCxnSpPr>
        <xdr:cNvPr id="2" name="Straight Arrow Connector 1">
          <a:extLst>
            <a:ext uri="{FF2B5EF4-FFF2-40B4-BE49-F238E27FC236}">
              <a16:creationId xmlns:a16="http://schemas.microsoft.com/office/drawing/2014/main" id="{00000000-0008-0000-0500-000002000000}"/>
            </a:ext>
          </a:extLst>
        </xdr:cNvPr>
        <xdr:cNvCxnSpPr/>
      </xdr:nvCxnSpPr>
      <xdr:spPr>
        <a:xfrm flipH="1" flipV="1">
          <a:off x="4413250" y="3714750"/>
          <a:ext cx="896938" cy="50800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205740</xdr:colOff>
      <xdr:row>14</xdr:row>
      <xdr:rowOff>182880</xdr:rowOff>
    </xdr:from>
    <xdr:to>
      <xdr:col>3</xdr:col>
      <xdr:colOff>571500</xdr:colOff>
      <xdr:row>16</xdr:row>
      <xdr:rowOff>15240</xdr:rowOff>
    </xdr:to>
    <xdr:cxnSp macro="">
      <xdr:nvCxnSpPr>
        <xdr:cNvPr id="3" name="Straight Arrow Connector 2">
          <a:extLst>
            <a:ext uri="{FF2B5EF4-FFF2-40B4-BE49-F238E27FC236}">
              <a16:creationId xmlns:a16="http://schemas.microsoft.com/office/drawing/2014/main" id="{00000000-0008-0000-0700-000003000000}"/>
            </a:ext>
          </a:extLst>
        </xdr:cNvPr>
        <xdr:cNvCxnSpPr/>
      </xdr:nvCxnSpPr>
      <xdr:spPr>
        <a:xfrm flipH="1">
          <a:off x="4419600" y="2941320"/>
          <a:ext cx="990600" cy="23622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13</xdr:col>
      <xdr:colOff>219074</xdr:colOff>
      <xdr:row>72</xdr:row>
      <xdr:rowOff>123825</xdr:rowOff>
    </xdr:to>
    <xdr:sp macro="" textlink="">
      <xdr:nvSpPr>
        <xdr:cNvPr id="2" name="TextBox 1">
          <a:extLst>
            <a:ext uri="{FF2B5EF4-FFF2-40B4-BE49-F238E27FC236}">
              <a16:creationId xmlns:a16="http://schemas.microsoft.com/office/drawing/2014/main" id="{00000000-0008-0000-0A00-000002000000}"/>
            </a:ext>
          </a:extLst>
        </xdr:cNvPr>
        <xdr:cNvSpPr txBox="1"/>
      </xdr:nvSpPr>
      <xdr:spPr>
        <a:xfrm>
          <a:off x="0" y="0"/>
          <a:ext cx="8143874" cy="11782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800" b="1">
            <a:solidFill>
              <a:schemeClr val="dk1"/>
            </a:solidFill>
            <a:effectLst/>
            <a:latin typeface="Arial" panose="020B0604020202020204" pitchFamily="34" charset="0"/>
            <a:ea typeface="+mn-ea"/>
            <a:cs typeface="Arial" panose="020B0604020202020204" pitchFamily="34" charset="0"/>
          </a:endParaRPr>
        </a:p>
        <a:p>
          <a:pPr algn="ctr"/>
          <a:r>
            <a:rPr lang="en-US" sz="1800" b="1">
              <a:solidFill>
                <a:schemeClr val="dk1"/>
              </a:solidFill>
              <a:effectLst/>
              <a:latin typeface="Arial" panose="020B0604020202020204" pitchFamily="34" charset="0"/>
              <a:ea typeface="+mn-ea"/>
              <a:cs typeface="Arial" panose="020B0604020202020204" pitchFamily="34" charset="0"/>
            </a:rPr>
            <a:t>EXPLANATION</a:t>
          </a:r>
        </a:p>
        <a:p>
          <a:r>
            <a:rPr lang="en-US" sz="1100">
              <a:solidFill>
                <a:schemeClr val="dk1"/>
              </a:solidFill>
              <a:effectLst/>
              <a:latin typeface="Arial" panose="020B0604020202020204" pitchFamily="34" charset="0"/>
              <a:ea typeface="+mn-ea"/>
              <a:cs typeface="Arial" panose="020B0604020202020204" pitchFamily="34" charset="0"/>
            </a:rPr>
            <a:t> </a:t>
          </a:r>
        </a:p>
        <a:p>
          <a:r>
            <a:rPr lang="en-US" sz="1100" b="0" i="0" u="none" strike="noStrike" baseline="0">
              <a:solidFill>
                <a:schemeClr val="dk1"/>
              </a:solidFill>
              <a:effectLst/>
              <a:latin typeface="Arial" panose="020B0604020202020204" pitchFamily="34" charset="0"/>
              <a:ea typeface="+mn-ea"/>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The school board of any school district having a population of less than 500,000 inhabitants may levy a tax annually, for</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educational purposes, upon all the taxable property of the district at the value, as equalized or assessed by the Department of </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Revenue (Section 17-2 of the School Code).</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school board of any school district having a population of less than 500,000 inhabitants may levy a tax annually, for</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operations and maintenance purposes, upon all the taxable property of the district at the value, as equalized or assessed</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by the Department of Revenue (Section 17-2 of the School Code).</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school board of any school district having a population of less than 500,000 inhabitants may levy a tax annually, for </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transportation purposes, upon all the taxable property of the district at the value, as equalized or assessed by the Department </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of Revenue (Section 17-2 of the School Code).</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school board of any school district having a population of less than 500,000 inhabitants may levy a tax known as a </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Working Cash Fund Tax upon all the taxable property of the district, annually  (Section 20-3 of the School Code).</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school board of any school district may levy a tax for municipal retirement purposes in a sum sufficient to provide all the</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contributions required of the school district by including the amount to be levied for such purposes in the Certificate of Tax Levy</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for other school taxes, or such district may file with the county clerk a separate certificate or resolution setting forth the amount</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of tax to be levied for such purpose (40 ILCS 5/7-171).</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school board of any school district may levy a tax for social security (includes Medicare only) purposes in a sum</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sufficient to provide all the contributions required of the school district by including the amount to be levied for such purposes</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in the Certificate of Tax Levy for other taxes, or such district may file with the county clerk a separate certificate or resolution</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setting forth the amount of tax to be levied for such purpose (40 ILCS 5/21-110, 21-110.1).</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school board of any school district having a population of less than 500,000 inhabitants may levy a tax upon all the</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taxable property of the district at the value as equalized or assessed by the Department of Revenue for the purposes of</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professional surveys, alterations, and reconstruction for fire prevention, safety, energy conservation, disabled accessibility,</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school security, and specified repair purposes upon meeting certain statutory conditions (Section 17-2.11 of the School Code).</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school board of any school district may levy a tax upon all the taxable property within the district for tort immunity</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purposes in a sum sufficient to pay the costs of purchasing such insurance or sufficient to pay any tort judgment, settlement,</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or insurance imposed upon it under the Local Government and Governmental Employees Tort Immunity Act including liabilities</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under the Workers' Compensation Act, Occupational Diseases Act, or the Unemployment Insurance Act 745 ILCS 10/9-107</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and Section 17-2.5 of the School Code).</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school board of any school district may levy, with voter approval, a tax upon the full, fair cash value as equalized or</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assessed by the Department of Revenue within the district for a capital improvement fund (which levy is in addition to that for</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building purposes) and such fund is to be levied, accumulated, and spent only in accordance with Section 17-2.3 of the School</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Code.</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school board of any school district having a population of less than 500,000 inhabitants, by proper resolution, may levy</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an annual tax upon the full, fair cash value as equalized or assessed by the Department of Revenue for special education </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purposes including the purposes authorized by Section 10-22.31b and Section 17-2.2a of the School Code.</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school board of any school district having a population of less than 500,000 inhabitants, with voter approval, may levy a tax annually, for summer school purposes, upon all the taxable property of the district at the value, as equalized or assessed</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by the Department of Revenue (Section 17-2.1 of the School Code).</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school board of any school district having a population of less than 500,000 inhabitants may, by proper resolution, levy an annual tax upon the value as equalized or assessed by the Department of Revenue for a period of not more than five years</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for area vocational education building purposes including the purposes authorized by Section 10-22.31b of the School Code,</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upon the condition that there are not sufficient funds available in the operations and maintenance fund of the district to pay the</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cost thereof. Such tax shall not be levied without the prior approval of the State Superintendent of Education and prior approval</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by a majority of the electors voting upon the proposition at a general or special election (Section 17-2.4 of the School Code).</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school board of any school district having a population of less than 500,000 inhabitants may levy an annual tax not to</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exceed 0.05% upon the taxable property, as equalized or assessed by the Department of Revenue, for the purposes of leasing</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educational facilities or computer technology or both, and for temporary relocation expense (Section 17-2.2c of the School Code).</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school board of any school district, upon determining that a surplus of funds is available, shall adopt a resolution or </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ordinance reducing the tax levy of such district for the year for which the resolution or ordinance is adopted.  The district shall</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certify the action to the county clerk who shall abate the levy in accordance with the provision of the ordinance (35 </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ILCS 200/18-20).</a:t>
          </a:r>
          <a:r>
            <a:rPr lang="en-US">
              <a:latin typeface="Arial" panose="020B0604020202020204" pitchFamily="34" charset="0"/>
              <a:cs typeface="Arial" panose="020B0604020202020204" pitchFamily="34" charset="0"/>
            </a:rPr>
            <a:t> </a:t>
          </a:r>
        </a:p>
        <a:p>
          <a:endParaRPr lang="en-US" sz="1100" b="0" i="0" u="none" strike="noStrike">
            <a:solidFill>
              <a:schemeClr val="dk1"/>
            </a:solidFill>
            <a:effectLst/>
            <a:latin typeface="Arial" panose="020B0604020202020204" pitchFamily="34" charset="0"/>
            <a:ea typeface="+mn-ea"/>
            <a:cs typeface="Arial" panose="020B0604020202020204" pitchFamily="34" charset="0"/>
          </a:endParaRPr>
        </a:p>
        <a:p>
          <a:r>
            <a:rPr lang="en-US" sz="1100" b="0" i="0" u="none" strike="noStrike">
              <a:solidFill>
                <a:schemeClr val="dk1"/>
              </a:solidFill>
              <a:effectLst/>
              <a:latin typeface="Arial" panose="020B0604020202020204" pitchFamily="34" charset="0"/>
              <a:ea typeface="+mn-ea"/>
              <a:cs typeface="Arial" panose="020B0604020202020204" pitchFamily="34" charset="0"/>
            </a:rPr>
            <a:t>     The Truth in Taxation Law affects all units of local government, school districts, and community colleges, including home rule</a:t>
          </a:r>
          <a:r>
            <a:rPr lang="en-US">
              <a:latin typeface="Arial" panose="020B0604020202020204" pitchFamily="34" charset="0"/>
              <a:cs typeface="Arial" panose="020B0604020202020204" pitchFamily="34" charset="0"/>
            </a:rPr>
            <a:t> </a:t>
          </a:r>
          <a:r>
            <a:rPr lang="en-US" sz="1100" b="0" i="0" u="none" strike="noStrike">
              <a:solidFill>
                <a:schemeClr val="dk1"/>
              </a:solidFill>
              <a:effectLst/>
              <a:latin typeface="Arial" panose="020B0604020202020204" pitchFamily="34" charset="0"/>
              <a:ea typeface="+mn-ea"/>
              <a:cs typeface="Arial" panose="020B0604020202020204" pitchFamily="34" charset="0"/>
            </a:rPr>
            <a:t>units, who are authorized to levy property taxes.  For the requirements of the law, refer to 35 ILCS 200/18-55 et seq.  </a:t>
          </a:r>
          <a:r>
            <a:rPr lang="en-US">
              <a:latin typeface="Arial" panose="020B0604020202020204" pitchFamily="34" charset="0"/>
              <a:cs typeface="Arial" panose="020B0604020202020204" pitchFamily="34" charset="0"/>
            </a:rPr>
            <a:t> </a:t>
          </a:r>
          <a:r>
            <a:rPr lang="en-US" sz="1100">
              <a:solidFill>
                <a:schemeClr val="dk1"/>
              </a:solidFill>
              <a:effectLst/>
              <a:latin typeface="Arial" panose="020B0604020202020204" pitchFamily="34" charset="0"/>
              <a:ea typeface="+mn-ea"/>
              <a:cs typeface="Arial" panose="020B0604020202020204" pitchFamily="34" charset="0"/>
            </a:rPr>
            <a:t> </a:t>
          </a:r>
        </a:p>
        <a:p>
          <a:endParaRPr lang="en-US" sz="1100">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package" Target="../embeddings/Microsoft_Word_Document1.docx"/><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3.xml.rels><?xml version="1.0" encoding="UTF-8" standalone="yes"?>
<Relationships xmlns="http://schemas.openxmlformats.org/package/2006/relationships"><Relationship Id="rId3" Type="http://schemas.openxmlformats.org/officeDocument/2006/relationships/hyperlink" Target="mailto:robert.lewis@ptma.com" TargetMode="External"/><Relationship Id="rId2" Type="http://schemas.openxmlformats.org/officeDocument/2006/relationships/hyperlink" Target="mailto:tammie.beckwithschallmo@ptma.com" TargetMode="External"/><Relationship Id="rId1" Type="http://schemas.openxmlformats.org/officeDocument/2006/relationships/hyperlink" Target="mailto:steve.adams@ptma.com" TargetMode="External"/><Relationship Id="rId4"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customProperty" Target="../customProperty1.bin"/><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0">
    <tabColor rgb="FFFFFF99"/>
  </sheetPr>
  <dimension ref="A1"/>
  <sheetViews>
    <sheetView tabSelected="1" workbookViewId="0">
      <selection activeCell="K4" sqref="K4"/>
    </sheetView>
  </sheetViews>
  <sheetFormatPr defaultRowHeight="12.5" x14ac:dyDescent="0.25"/>
  <sheetData/>
  <sheetProtection algorithmName="SHA-512" hashValue="uCfxGZFjCj/mFRyncIOJodlY+yJXksYmapcmQb+iahNABEY5hVmpj9Gq1g2BXZK80z9IdrYOq9xYz4/nt0rUqQ==" saltValue="o0WC1qQic3kLiDRFyYtgDw==" spinCount="100000"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tabColor rgb="FFFFFF99"/>
  </sheetPr>
  <dimension ref="A1:C107"/>
  <sheetViews>
    <sheetView showGridLines="0" zoomScaleNormal="100" workbookViewId="0">
      <selection activeCell="A56" sqref="A56:XFD56"/>
    </sheetView>
  </sheetViews>
  <sheetFormatPr defaultColWidth="0" defaultRowHeight="12.5" zeroHeight="1" x14ac:dyDescent="0.25"/>
  <cols>
    <col min="1" max="10" width="9.26953125" customWidth="1"/>
  </cols>
  <sheetData>
    <row r="1" spans="1:3" ht="13" x14ac:dyDescent="0.3">
      <c r="A1" s="1" t="s">
        <v>97</v>
      </c>
      <c r="B1" s="3"/>
      <c r="C1" s="1"/>
    </row>
    <row r="2" spans="1:3" ht="13" x14ac:dyDescent="0.3">
      <c r="A2" s="1"/>
      <c r="B2" s="3"/>
      <c r="C2" s="1"/>
    </row>
    <row r="3" spans="1:3" x14ac:dyDescent="0.25"/>
    <row r="4" spans="1:3" x14ac:dyDescent="0.25"/>
    <row r="5" spans="1:3" x14ac:dyDescent="0.25"/>
    <row r="6" spans="1:3" x14ac:dyDescent="0.25"/>
    <row r="7" spans="1:3" x14ac:dyDescent="0.25"/>
    <row r="8" spans="1:3" x14ac:dyDescent="0.25"/>
    <row r="9" spans="1:3" x14ac:dyDescent="0.25"/>
    <row r="10" spans="1:3" x14ac:dyDescent="0.25"/>
    <row r="11" spans="1:3" x14ac:dyDescent="0.25"/>
    <row r="12" spans="1:3" x14ac:dyDescent="0.25"/>
    <row r="13" spans="1:3" x14ac:dyDescent="0.25"/>
    <row r="14" spans="1:3" x14ac:dyDescent="0.25"/>
    <row r="15" spans="1:3" x14ac:dyDescent="0.25"/>
    <row r="16" spans="1:3"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ht="26.25" customHeight="1"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sheetData>
  <sheetProtection algorithmName="SHA-512" hashValue="gT+m0C5wWVZehVY9f1VkQMRH4As2nhdwut3g+iQ8icFz+dXYc3+vlxB6oGSgEmPIIrp3zWF0Am7xgaZI9L21eg==" saltValue="ALXBNhuXLVNMwhv8DY6z1w==" spinCount="100000" sheet="1" objects="1" scenarios="1"/>
  <phoneticPr fontId="10" type="noConversion"/>
  <pageMargins left="0.5" right="0.5" top="0.5" bottom="0.5" header="0.5" footer="0.5"/>
  <pageSetup orientation="portrait" r:id="rId1"/>
  <headerFooter alignWithMargins="0"/>
  <drawing r:id="rId2"/>
  <legacyDrawing r:id="rId3"/>
  <oleObjects>
    <mc:AlternateContent xmlns:mc="http://schemas.openxmlformats.org/markup-compatibility/2006">
      <mc:Choice Requires="x14">
        <oleObject progId="Word.Document.12" shapeId="3075" r:id="rId4">
          <objectPr defaultSize="0" r:id="rId5">
            <anchor moveWithCells="1">
              <from>
                <xdr:col>0</xdr:col>
                <xdr:colOff>0</xdr:colOff>
                <xdr:row>2</xdr:row>
                <xdr:rowOff>0</xdr:rowOff>
              </from>
              <to>
                <xdr:col>9</xdr:col>
                <xdr:colOff>488950</xdr:colOff>
                <xdr:row>54</xdr:row>
                <xdr:rowOff>317500</xdr:rowOff>
              </to>
            </anchor>
          </objectPr>
        </oleObject>
      </mc:Choice>
      <mc:Fallback>
        <oleObject progId="Word.Document.12" shapeId="3075" r:id="rId4"/>
      </mc:Fallback>
    </mc:AlternateContent>
    <mc:AlternateContent xmlns:mc="http://schemas.openxmlformats.org/markup-compatibility/2006">
      <mc:Choice Requires="x14">
        <oleObject progId="Word.Document.12" shapeId="3078" r:id="rId6">
          <objectPr defaultSize="0" r:id="rId7">
            <anchor moveWithCells="1">
              <from>
                <xdr:col>0</xdr:col>
                <xdr:colOff>0</xdr:colOff>
                <xdr:row>55</xdr:row>
                <xdr:rowOff>0</xdr:rowOff>
              </from>
              <to>
                <xdr:col>9</xdr:col>
                <xdr:colOff>488950</xdr:colOff>
                <xdr:row>104</xdr:row>
                <xdr:rowOff>31750</xdr:rowOff>
              </to>
            </anchor>
          </objectPr>
        </oleObject>
      </mc:Choice>
      <mc:Fallback>
        <oleObject progId="Word.Document.12" shapeId="3078" r:id="rId6"/>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92D050"/>
    <pageSetUpPr fitToPage="1"/>
  </sheetPr>
  <dimension ref="A1:AB71"/>
  <sheetViews>
    <sheetView showGridLines="0" zoomScaleNormal="100" workbookViewId="0">
      <selection activeCell="A13" sqref="A13"/>
    </sheetView>
  </sheetViews>
  <sheetFormatPr defaultColWidth="0" defaultRowHeight="13" zeroHeight="1" x14ac:dyDescent="0.3"/>
  <cols>
    <col min="1" max="1" width="16.7265625" style="1" customWidth="1"/>
    <col min="2" max="2" width="28.453125" style="73" customWidth="1"/>
    <col min="3" max="3" width="16.26953125" style="1" customWidth="1"/>
    <col min="4" max="4" width="18.26953125" style="1" customWidth="1"/>
    <col min="5" max="5" width="12.7265625" style="74" bestFit="1" customWidth="1"/>
    <col min="6" max="6" width="12" style="74" bestFit="1" customWidth="1"/>
    <col min="7" max="8" width="14.453125" style="1" customWidth="1"/>
    <col min="9" max="27" width="9.26953125" style="1" hidden="1" customWidth="1"/>
    <col min="28" max="28" width="9.26953125" style="72" hidden="1" customWidth="1"/>
    <col min="29" max="16384" width="9.26953125" style="1" hidden="1"/>
  </cols>
  <sheetData>
    <row r="1" spans="1:28" x14ac:dyDescent="0.3">
      <c r="A1" s="1" t="s">
        <v>97</v>
      </c>
      <c r="B1" s="3"/>
      <c r="E1" s="1"/>
      <c r="F1" s="1"/>
    </row>
    <row r="2" spans="1:28" x14ac:dyDescent="0.3">
      <c r="A2" s="1" t="s">
        <v>216</v>
      </c>
      <c r="B2" s="3"/>
      <c r="E2" s="1"/>
      <c r="F2" s="1"/>
    </row>
    <row r="3" spans="1:28" x14ac:dyDescent="0.3">
      <c r="A3" s="3" t="s">
        <v>218</v>
      </c>
      <c r="B3" s="219" t="s">
        <v>245</v>
      </c>
      <c r="E3" s="1"/>
      <c r="F3" s="1"/>
    </row>
    <row r="4" spans="1:28" x14ac:dyDescent="0.3">
      <c r="A4" s="3" t="s">
        <v>219</v>
      </c>
      <c r="B4" s="219" t="s">
        <v>246</v>
      </c>
      <c r="E4" s="1"/>
      <c r="F4" s="1"/>
    </row>
    <row r="5" spans="1:28" x14ac:dyDescent="0.3">
      <c r="A5" s="3" t="s">
        <v>217</v>
      </c>
      <c r="B5" s="219" t="s">
        <v>247</v>
      </c>
      <c r="E5" s="1"/>
      <c r="F5" s="1"/>
    </row>
    <row r="6" spans="1:28" x14ac:dyDescent="0.3">
      <c r="A6" s="1" t="s">
        <v>98</v>
      </c>
      <c r="B6" s="3"/>
      <c r="E6" s="1"/>
      <c r="F6" s="1"/>
    </row>
    <row r="7" spans="1:28" s="74" customFormat="1" ht="18" thickBot="1" x14ac:dyDescent="0.4">
      <c r="A7" s="132" t="s">
        <v>70</v>
      </c>
      <c r="B7" s="133"/>
      <c r="C7" s="132"/>
      <c r="D7" s="133"/>
      <c r="E7" s="133"/>
      <c r="F7" s="146" t="s">
        <v>104</v>
      </c>
      <c r="G7" s="133"/>
      <c r="H7" s="133"/>
      <c r="AB7" s="75" t="s">
        <v>78</v>
      </c>
    </row>
    <row r="8" spans="1:28" s="74" customFormat="1" ht="15.75" customHeight="1" x14ac:dyDescent="0.3">
      <c r="A8" s="133"/>
      <c r="B8" s="134"/>
      <c r="C8" s="133"/>
      <c r="D8" s="133"/>
      <c r="E8" s="145"/>
      <c r="F8" s="163" t="s">
        <v>102</v>
      </c>
      <c r="G8" s="144"/>
      <c r="H8" s="133"/>
      <c r="AB8" s="75" t="s">
        <v>79</v>
      </c>
    </row>
    <row r="9" spans="1:28" ht="15" x14ac:dyDescent="0.3">
      <c r="A9" s="135"/>
      <c r="B9" s="135" t="s">
        <v>121</v>
      </c>
      <c r="C9" s="242">
        <v>2025</v>
      </c>
      <c r="D9" s="136"/>
      <c r="E9" s="130"/>
      <c r="F9" s="161" t="s">
        <v>103</v>
      </c>
      <c r="G9" s="131"/>
      <c r="H9" s="133"/>
    </row>
    <row r="10" spans="1:28" s="74" customFormat="1" ht="15.75" customHeight="1" thickBot="1" x14ac:dyDescent="0.35">
      <c r="A10" s="134"/>
      <c r="B10" s="134"/>
      <c r="C10" s="133"/>
      <c r="D10" s="133"/>
      <c r="E10" s="153"/>
      <c r="F10" s="162" t="s">
        <v>107</v>
      </c>
      <c r="G10" s="154"/>
      <c r="H10" s="133"/>
      <c r="AB10" s="75"/>
    </row>
    <row r="11" spans="1:28" ht="15" x14ac:dyDescent="0.3">
      <c r="A11" s="135"/>
      <c r="B11" s="135" t="s">
        <v>111</v>
      </c>
      <c r="C11" s="125"/>
      <c r="D11" s="136" t="s">
        <v>142</v>
      </c>
      <c r="E11" s="133"/>
      <c r="F11" s="133"/>
      <c r="G11" s="133"/>
      <c r="H11" s="133"/>
    </row>
    <row r="12" spans="1:28" ht="15" x14ac:dyDescent="0.3">
      <c r="A12" s="135"/>
      <c r="B12" s="135" t="s">
        <v>110</v>
      </c>
      <c r="C12" s="125"/>
      <c r="D12" s="136" t="s">
        <v>143</v>
      </c>
      <c r="E12" s="133"/>
      <c r="F12" s="133"/>
      <c r="G12" s="133"/>
      <c r="H12" s="133"/>
    </row>
    <row r="13" spans="1:28" ht="15" x14ac:dyDescent="0.3">
      <c r="A13" s="135"/>
      <c r="B13" s="135" t="s">
        <v>139</v>
      </c>
      <c r="C13" s="125"/>
      <c r="D13" s="136" t="s">
        <v>163</v>
      </c>
      <c r="E13" s="133"/>
      <c r="F13" s="133"/>
      <c r="G13" s="133"/>
      <c r="H13" s="133"/>
    </row>
    <row r="14" spans="1:28" ht="15" x14ac:dyDescent="0.3">
      <c r="A14" s="135"/>
      <c r="B14" s="135" t="s">
        <v>112</v>
      </c>
      <c r="C14" s="125"/>
      <c r="D14" s="136" t="s">
        <v>160</v>
      </c>
      <c r="E14" s="133"/>
      <c r="F14" s="133"/>
      <c r="G14" s="133"/>
      <c r="H14" s="133"/>
    </row>
    <row r="15" spans="1:28" ht="15" x14ac:dyDescent="0.3">
      <c r="A15" s="135"/>
      <c r="B15" s="135" t="s">
        <v>113</v>
      </c>
      <c r="C15" s="125"/>
      <c r="D15" s="136" t="s">
        <v>162</v>
      </c>
      <c r="E15" s="133"/>
      <c r="F15" s="133"/>
      <c r="G15" s="133"/>
      <c r="H15" s="133"/>
    </row>
    <row r="16" spans="1:28" ht="15" x14ac:dyDescent="0.3">
      <c r="A16" s="135"/>
      <c r="B16" s="135" t="s">
        <v>114</v>
      </c>
      <c r="C16" s="125"/>
      <c r="D16" s="136" t="s">
        <v>161</v>
      </c>
      <c r="E16" s="133"/>
      <c r="F16" s="133"/>
      <c r="G16" s="133"/>
      <c r="H16" s="133"/>
    </row>
    <row r="17" spans="1:28" s="74" customFormat="1" x14ac:dyDescent="0.3">
      <c r="A17" s="134"/>
      <c r="B17" s="134"/>
      <c r="C17" s="136" t="s">
        <v>71</v>
      </c>
      <c r="D17" s="133"/>
      <c r="E17" s="133"/>
      <c r="F17" s="133"/>
      <c r="G17" s="133"/>
      <c r="H17" s="133"/>
      <c r="AB17" s="75"/>
    </row>
    <row r="18" spans="1:28" s="74" customFormat="1" ht="13.5" thickBot="1" x14ac:dyDescent="0.35">
      <c r="A18" s="134"/>
      <c r="B18" s="134"/>
      <c r="C18" s="133"/>
      <c r="D18" s="133"/>
      <c r="E18" s="133"/>
      <c r="F18" s="133"/>
      <c r="G18" s="133"/>
      <c r="H18" s="133"/>
      <c r="AB18" s="75"/>
    </row>
    <row r="19" spans="1:28" ht="15" x14ac:dyDescent="0.3">
      <c r="A19" s="137"/>
      <c r="B19" s="135" t="s">
        <v>115</v>
      </c>
      <c r="C19" s="164" t="s">
        <v>78</v>
      </c>
      <c r="D19" s="136" t="s">
        <v>144</v>
      </c>
      <c r="E19" s="264" t="s">
        <v>140</v>
      </c>
      <c r="F19" s="265"/>
      <c r="G19" s="266"/>
      <c r="H19" s="133"/>
    </row>
    <row r="20" spans="1:28" ht="7.9" customHeight="1" x14ac:dyDescent="0.3">
      <c r="A20" s="137"/>
      <c r="B20" s="135"/>
      <c r="C20" s="137"/>
      <c r="D20" s="137"/>
      <c r="E20" s="267"/>
      <c r="F20" s="268"/>
      <c r="G20" s="269"/>
      <c r="H20" s="133"/>
    </row>
    <row r="21" spans="1:28" s="74" customFormat="1" ht="15.5" thickBot="1" x14ac:dyDescent="0.35">
      <c r="A21" s="134"/>
      <c r="B21" s="135" t="s">
        <v>141</v>
      </c>
      <c r="C21" s="164" t="s">
        <v>79</v>
      </c>
      <c r="D21" s="136" t="s">
        <v>144</v>
      </c>
      <c r="E21" s="270"/>
      <c r="F21" s="271"/>
      <c r="G21" s="272"/>
      <c r="H21" s="133"/>
      <c r="AB21" s="75"/>
    </row>
    <row r="22" spans="1:28" s="74" customFormat="1" x14ac:dyDescent="0.3">
      <c r="A22" s="134"/>
      <c r="B22" s="134"/>
      <c r="C22" s="133"/>
      <c r="D22" s="133"/>
      <c r="E22" s="133"/>
      <c r="F22" s="133"/>
      <c r="G22" s="133"/>
      <c r="H22" s="133"/>
      <c r="AB22" s="75"/>
    </row>
    <row r="23" spans="1:28" ht="15" x14ac:dyDescent="0.3">
      <c r="A23" s="135"/>
      <c r="B23" s="135" t="s">
        <v>116</v>
      </c>
      <c r="C23" s="125" t="s">
        <v>80</v>
      </c>
      <c r="D23" s="136"/>
      <c r="E23" s="273"/>
      <c r="F23" s="273"/>
      <c r="G23" s="133"/>
      <c r="H23" s="133"/>
    </row>
    <row r="24" spans="1:28" ht="15" x14ac:dyDescent="0.3">
      <c r="A24" s="135"/>
      <c r="B24" s="135" t="s">
        <v>117</v>
      </c>
      <c r="C24" s="125"/>
      <c r="D24" s="136"/>
      <c r="E24" s="273"/>
      <c r="F24" s="273"/>
      <c r="G24" s="133"/>
      <c r="H24" s="133"/>
    </row>
    <row r="25" spans="1:28" s="74" customFormat="1" x14ac:dyDescent="0.3">
      <c r="A25" s="134"/>
      <c r="B25" s="134"/>
      <c r="C25" s="136" t="s">
        <v>72</v>
      </c>
      <c r="D25" s="133"/>
      <c r="E25" s="133"/>
      <c r="F25" s="133"/>
      <c r="G25" s="133"/>
      <c r="H25" s="133"/>
      <c r="AB25" s="75"/>
    </row>
    <row r="26" spans="1:28" s="74" customFormat="1" x14ac:dyDescent="0.3">
      <c r="A26" s="134"/>
      <c r="B26" s="134"/>
      <c r="C26" s="133"/>
      <c r="D26" s="133"/>
      <c r="E26" s="133"/>
      <c r="F26" s="133"/>
      <c r="G26" s="133"/>
      <c r="H26" s="133"/>
      <c r="AB26" s="75"/>
    </row>
    <row r="27" spans="1:28" s="74" customFormat="1" x14ac:dyDescent="0.3">
      <c r="A27" s="134"/>
      <c r="B27" s="134"/>
      <c r="C27" s="133"/>
      <c r="D27" s="133"/>
      <c r="E27" s="133"/>
      <c r="F27" s="133"/>
      <c r="G27" s="133"/>
      <c r="H27" s="133"/>
      <c r="AB27" s="75"/>
    </row>
    <row r="28" spans="1:28" ht="15" x14ac:dyDescent="0.3">
      <c r="A28" s="135"/>
      <c r="B28" s="135" t="s">
        <v>186</v>
      </c>
      <c r="C28" s="151">
        <v>2.9000000000000001E-2</v>
      </c>
      <c r="D28" s="138" t="str">
        <f>" Lesser of 5% or CPI for Year Ending "&amp;C9-1&amp;", Applies to the "&amp;C9&amp;" Levy"</f>
        <v xml:space="preserve"> Lesser of 5% or CPI for Year Ending 2024, Applies to the 2025 Levy</v>
      </c>
      <c r="E28" s="133"/>
      <c r="F28" s="133"/>
      <c r="G28" s="133"/>
      <c r="H28" s="133"/>
    </row>
    <row r="29" spans="1:28" ht="12.75" customHeight="1" x14ac:dyDescent="0.3">
      <c r="A29" s="135"/>
      <c r="B29" s="135"/>
      <c r="C29" s="133"/>
      <c r="D29" s="138"/>
      <c r="E29" s="133"/>
      <c r="F29" s="133"/>
      <c r="G29" s="133"/>
      <c r="H29" s="133"/>
    </row>
    <row r="30" spans="1:28" ht="15" x14ac:dyDescent="0.3">
      <c r="A30" s="135"/>
      <c r="B30" s="135" t="str">
        <f>"Actual Rate Setting EAV for "&amp;C9-1&amp;" "</f>
        <v xml:space="preserve">Actual Rate Setting EAV for 2024 </v>
      </c>
      <c r="C30" s="115"/>
      <c r="D30" s="136" t="str">
        <f>" Enter Actual Rate Setting EAV for "&amp;C9-1&amp;""</f>
        <v xml:space="preserve"> Enter Actual Rate Setting EAV for 2024</v>
      </c>
      <c r="E30" s="133"/>
      <c r="F30" s="133"/>
      <c r="G30" s="133"/>
      <c r="H30" s="133"/>
    </row>
    <row r="31" spans="1:28" x14ac:dyDescent="0.3">
      <c r="A31" s="133"/>
      <c r="B31" s="134"/>
      <c r="C31" s="133"/>
      <c r="D31" s="133"/>
      <c r="E31" s="133"/>
      <c r="F31" s="133"/>
      <c r="G31" s="133"/>
      <c r="H31" s="133"/>
    </row>
    <row r="32" spans="1:28" ht="15" x14ac:dyDescent="0.3">
      <c r="A32" s="133"/>
      <c r="B32" s="135" t="str">
        <f>"Preliminary Figure Available for "&amp;C9&amp;" EAV? "</f>
        <v xml:space="preserve">Preliminary Figure Available for 2025 EAV? </v>
      </c>
      <c r="C32" s="164" t="s">
        <v>79</v>
      </c>
      <c r="D32" s="136" t="s">
        <v>220</v>
      </c>
      <c r="E32" s="133"/>
      <c r="F32" s="133"/>
      <c r="G32" s="133"/>
      <c r="H32" s="133"/>
    </row>
    <row r="33" spans="1:8" x14ac:dyDescent="0.3">
      <c r="A33" s="133"/>
      <c r="B33" s="134"/>
      <c r="C33" s="133"/>
      <c r="D33" s="133"/>
      <c r="E33" s="133"/>
      <c r="F33" s="133"/>
      <c r="G33" s="133"/>
      <c r="H33" s="133"/>
    </row>
    <row r="34" spans="1:8" ht="15" x14ac:dyDescent="0.3">
      <c r="A34" s="135"/>
      <c r="B34" s="135" t="str">
        <f>"Estimated Existing EAV % Change for "&amp;C9&amp;" "</f>
        <v xml:space="preserve">Estimated Existing EAV % Change for 2025 </v>
      </c>
      <c r="C34" s="165"/>
      <c r="D34" s="136" t="str">
        <f>IF(C19="Yes","Enter Reassessment Percentage Before New Property","Enter Reassessment Percentage")</f>
        <v>Enter Reassessment Percentage Before New Property</v>
      </c>
      <c r="E34" s="133"/>
      <c r="F34" s="133"/>
      <c r="G34" s="133"/>
      <c r="H34" s="133"/>
    </row>
    <row r="35" spans="1:8" hidden="1" x14ac:dyDescent="0.3">
      <c r="A35" s="134"/>
      <c r="B35" s="134"/>
      <c r="C35" s="133"/>
      <c r="D35" s="133"/>
      <c r="E35" s="133"/>
      <c r="F35" s="133"/>
      <c r="G35" s="133"/>
      <c r="H35" s="133"/>
    </row>
    <row r="36" spans="1:8" ht="15" x14ac:dyDescent="0.3">
      <c r="A36" s="135"/>
      <c r="B36" s="135" t="str">
        <f>"Estimated or Preliminary EAV for "&amp;C9&amp;" "</f>
        <v xml:space="preserve">Estimated or Preliminary EAV for 2025 </v>
      </c>
      <c r="C36" s="220"/>
      <c r="D36" s="136"/>
      <c r="E36" s="133"/>
      <c r="F36" s="133"/>
      <c r="G36" s="133"/>
      <c r="H36" s="133"/>
    </row>
    <row r="37" spans="1:8" x14ac:dyDescent="0.3">
      <c r="A37" s="134"/>
      <c r="B37" s="134"/>
      <c r="C37" s="133"/>
      <c r="D37" s="133"/>
      <c r="E37" s="133"/>
      <c r="F37" s="133"/>
      <c r="G37" s="274" t="s">
        <v>221</v>
      </c>
      <c r="H37" s="274"/>
    </row>
    <row r="38" spans="1:8" ht="15" x14ac:dyDescent="0.3">
      <c r="A38" s="135"/>
      <c r="B38" s="135" t="str">
        <f>"Estimated New Property for "&amp;C9&amp;" "</f>
        <v xml:space="preserve">Estimated New Property for 2025 </v>
      </c>
      <c r="C38" s="115"/>
      <c r="D38" s="136" t="s">
        <v>145</v>
      </c>
      <c r="E38" s="133"/>
      <c r="F38" s="133"/>
      <c r="G38" s="275" t="s">
        <v>222</v>
      </c>
      <c r="H38" s="275"/>
    </row>
    <row r="39" spans="1:8" ht="12.75" customHeight="1" x14ac:dyDescent="0.3">
      <c r="A39" s="135"/>
      <c r="B39" s="135"/>
      <c r="C39" s="133"/>
      <c r="D39" s="136"/>
      <c r="E39" s="133"/>
      <c r="F39" s="133"/>
      <c r="G39" s="275" t="s">
        <v>223</v>
      </c>
      <c r="H39" s="275"/>
    </row>
    <row r="40" spans="1:8" ht="15" x14ac:dyDescent="0.3">
      <c r="A40" s="135"/>
      <c r="B40" s="135" t="str">
        <f>"Estimated Total EAV for "&amp;C9&amp;" "</f>
        <v xml:space="preserve">Estimated Total EAV for 2025 </v>
      </c>
      <c r="C40" s="152">
        <f>IF($C$19="Yes",C30*(1+C34)+C38,IF(C32="No",C30*(1+C34),C36))</f>
        <v>0</v>
      </c>
      <c r="D40" s="136" t="s">
        <v>108</v>
      </c>
      <c r="E40" s="133"/>
      <c r="F40" s="133"/>
      <c r="G40" s="275" t="s">
        <v>242</v>
      </c>
      <c r="H40" s="275"/>
    </row>
    <row r="41" spans="1:8" ht="15" x14ac:dyDescent="0.3">
      <c r="A41" s="135"/>
      <c r="B41" s="135" t="s">
        <v>119</v>
      </c>
      <c r="C41" s="150" t="e">
        <f>C40/C30-1</f>
        <v>#DIV/0!</v>
      </c>
      <c r="D41" s="136" t="s">
        <v>108</v>
      </c>
      <c r="E41" s="133"/>
      <c r="F41" s="133"/>
      <c r="G41" s="133"/>
      <c r="H41" s="133"/>
    </row>
    <row r="42" spans="1:8" x14ac:dyDescent="0.3">
      <c r="A42" s="133"/>
      <c r="B42" s="133"/>
      <c r="C42" s="133"/>
      <c r="D42" s="133"/>
      <c r="E42" s="133"/>
      <c r="F42" s="133"/>
      <c r="G42" s="133"/>
      <c r="H42" s="133"/>
    </row>
    <row r="43" spans="1:8" ht="15" x14ac:dyDescent="0.3">
      <c r="A43" s="135"/>
      <c r="B43" s="260" t="s">
        <v>120</v>
      </c>
      <c r="C43" s="125"/>
      <c r="D43" s="136" t="s">
        <v>146</v>
      </c>
      <c r="E43" s="133"/>
      <c r="F43" s="133"/>
      <c r="G43" s="133"/>
      <c r="H43" s="133"/>
    </row>
    <row r="44" spans="1:8" ht="13.5" thickBot="1" x14ac:dyDescent="0.35">
      <c r="A44" s="134"/>
      <c r="B44" s="134"/>
      <c r="C44" s="133"/>
      <c r="D44" s="133"/>
      <c r="E44" s="133"/>
      <c r="F44" s="133"/>
      <c r="G44" s="133"/>
      <c r="H44" s="133"/>
    </row>
    <row r="45" spans="1:8" x14ac:dyDescent="0.3">
      <c r="A45" s="134"/>
      <c r="B45" s="134"/>
      <c r="C45" s="133"/>
      <c r="D45" s="133"/>
      <c r="E45" s="264" t="s">
        <v>187</v>
      </c>
      <c r="F45" s="265"/>
      <c r="G45" s="266"/>
      <c r="H45" s="133"/>
    </row>
    <row r="46" spans="1:8" x14ac:dyDescent="0.3">
      <c r="A46" s="134"/>
      <c r="B46" s="134"/>
      <c r="C46" s="133"/>
      <c r="D46" s="133"/>
      <c r="E46" s="267"/>
      <c r="F46" s="268"/>
      <c r="G46" s="269"/>
      <c r="H46" s="133"/>
    </row>
    <row r="47" spans="1:8" ht="13.15" customHeight="1" thickBot="1" x14ac:dyDescent="0.35">
      <c r="A47" s="134"/>
      <c r="B47" s="193"/>
      <c r="C47" s="134"/>
      <c r="D47" s="133"/>
      <c r="E47" s="270"/>
      <c r="F47" s="271"/>
      <c r="G47" s="272"/>
      <c r="H47" s="133"/>
    </row>
    <row r="48" spans="1:8" ht="45" customHeight="1" x14ac:dyDescent="0.3">
      <c r="A48" s="134"/>
      <c r="B48" s="134"/>
      <c r="C48" s="159" t="s">
        <v>164</v>
      </c>
      <c r="D48" s="159" t="str">
        <f>"Total "&amp;C9-1&amp;" Extension for all Counties"</f>
        <v>Total 2024 Extension for all Counties</v>
      </c>
      <c r="E48" s="160" t="str">
        <f>"Input "&amp;C9-1&amp;" "&amp;C13&amp;" County Extension"</f>
        <v>Input 2024  County Extension</v>
      </c>
      <c r="F48" s="160" t="str">
        <f>IF(C14="","","Input "&amp;C9-1&amp;" "&amp;C14&amp;" County Extension:")</f>
        <v/>
      </c>
      <c r="G48" s="160" t="str">
        <f>IF(C15="","","Input "&amp;C9-1&amp;" "&amp;C15&amp;" County Extension:")</f>
        <v/>
      </c>
      <c r="H48" s="160" t="str">
        <f>IF(C16="","","Input "&amp;C9-1&amp;" "&amp;C16&amp;" County Extension:")</f>
        <v/>
      </c>
    </row>
    <row r="49" spans="1:8" ht="15" x14ac:dyDescent="0.3">
      <c r="A49" s="166" t="str">
        <f>IF($C$19="Yes","N/A"," ")</f>
        <v>N/A</v>
      </c>
      <c r="B49" s="135" t="s">
        <v>122</v>
      </c>
      <c r="C49" s="126"/>
      <c r="D49" s="119">
        <f>SUM(E49:H49)</f>
        <v>0</v>
      </c>
      <c r="E49" s="129"/>
      <c r="F49" s="129"/>
      <c r="G49" s="129"/>
      <c r="H49" s="129"/>
    </row>
    <row r="50" spans="1:8" ht="15" x14ac:dyDescent="0.3">
      <c r="A50" s="135"/>
      <c r="B50" s="135" t="s">
        <v>123</v>
      </c>
      <c r="C50" s="126"/>
      <c r="D50" s="119">
        <f t="shared" ref="D50:D59" si="0">SUM(E50:H50)</f>
        <v>0</v>
      </c>
      <c r="E50" s="129"/>
      <c r="F50" s="129"/>
      <c r="G50" s="129"/>
      <c r="H50" s="129"/>
    </row>
    <row r="51" spans="1:8" ht="15" x14ac:dyDescent="0.3">
      <c r="A51" s="166" t="str">
        <f>IF($C$19="Yes","N/A"," ")</f>
        <v>N/A</v>
      </c>
      <c r="B51" s="135" t="s">
        <v>124</v>
      </c>
      <c r="C51" s="126"/>
      <c r="D51" s="119">
        <f t="shared" si="0"/>
        <v>0</v>
      </c>
      <c r="E51" s="129"/>
      <c r="F51" s="129"/>
      <c r="G51" s="129"/>
      <c r="H51" s="129"/>
    </row>
    <row r="52" spans="1:8" ht="15" x14ac:dyDescent="0.3">
      <c r="A52" s="135"/>
      <c r="B52" s="135" t="s">
        <v>125</v>
      </c>
      <c r="C52" s="126"/>
      <c r="D52" s="119">
        <f t="shared" si="0"/>
        <v>0</v>
      </c>
      <c r="E52" s="129"/>
      <c r="F52" s="129"/>
      <c r="G52" s="129"/>
      <c r="H52" s="129"/>
    </row>
    <row r="53" spans="1:8" ht="15" x14ac:dyDescent="0.3">
      <c r="A53" s="135"/>
      <c r="B53" s="135" t="s">
        <v>126</v>
      </c>
      <c r="C53" s="127"/>
      <c r="D53" s="119">
        <f t="shared" si="0"/>
        <v>0</v>
      </c>
      <c r="E53" s="129"/>
      <c r="F53" s="129"/>
      <c r="G53" s="129"/>
      <c r="H53" s="129"/>
    </row>
    <row r="54" spans="1:8" ht="15" x14ac:dyDescent="0.3">
      <c r="A54" s="135"/>
      <c r="B54" s="135" t="s">
        <v>127</v>
      </c>
      <c r="C54" s="127"/>
      <c r="D54" s="119">
        <f t="shared" si="0"/>
        <v>0</v>
      </c>
      <c r="E54" s="129"/>
      <c r="F54" s="129"/>
      <c r="G54" s="129"/>
      <c r="H54" s="129"/>
    </row>
    <row r="55" spans="1:8" ht="15" x14ac:dyDescent="0.3">
      <c r="A55" s="135"/>
      <c r="B55" s="135" t="s">
        <v>128</v>
      </c>
      <c r="C55" s="126"/>
      <c r="D55" s="119">
        <f t="shared" si="0"/>
        <v>0</v>
      </c>
      <c r="E55" s="129"/>
      <c r="F55" s="129"/>
      <c r="G55" s="129"/>
      <c r="H55" s="129"/>
    </row>
    <row r="56" spans="1:8" ht="15" x14ac:dyDescent="0.3">
      <c r="A56" s="135"/>
      <c r="B56" s="135" t="s">
        <v>129</v>
      </c>
      <c r="C56" s="127"/>
      <c r="D56" s="119">
        <f t="shared" si="0"/>
        <v>0</v>
      </c>
      <c r="E56" s="129"/>
      <c r="F56" s="129"/>
      <c r="G56" s="129"/>
      <c r="H56" s="129"/>
    </row>
    <row r="57" spans="1:8" ht="15" x14ac:dyDescent="0.3">
      <c r="A57" s="135"/>
      <c r="B57" s="135" t="s">
        <v>130</v>
      </c>
      <c r="C57" s="126"/>
      <c r="D57" s="119">
        <f t="shared" si="0"/>
        <v>0</v>
      </c>
      <c r="E57" s="129"/>
      <c r="F57" s="129"/>
      <c r="G57" s="129"/>
      <c r="H57" s="129"/>
    </row>
    <row r="58" spans="1:8" ht="15" x14ac:dyDescent="0.3">
      <c r="A58" s="135"/>
      <c r="B58" s="135" t="s">
        <v>131</v>
      </c>
      <c r="C58" s="126"/>
      <c r="D58" s="119">
        <f t="shared" si="0"/>
        <v>0</v>
      </c>
      <c r="E58" s="129"/>
      <c r="F58" s="129"/>
      <c r="G58" s="129"/>
      <c r="H58" s="129"/>
    </row>
    <row r="59" spans="1:8" ht="15" x14ac:dyDescent="0.3">
      <c r="A59" s="139" t="s">
        <v>132</v>
      </c>
      <c r="B59" s="128" t="s">
        <v>81</v>
      </c>
      <c r="C59" s="126"/>
      <c r="D59" s="119">
        <f t="shared" si="0"/>
        <v>0</v>
      </c>
      <c r="E59" s="129"/>
      <c r="F59" s="129"/>
      <c r="G59" s="129"/>
      <c r="H59" s="129"/>
    </row>
    <row r="60" spans="1:8" ht="15" x14ac:dyDescent="0.3">
      <c r="A60" s="135"/>
      <c r="B60" s="140"/>
      <c r="C60" s="135"/>
      <c r="D60" s="141"/>
      <c r="E60" s="134"/>
      <c r="F60" s="134"/>
      <c r="G60" s="134"/>
      <c r="H60" s="134"/>
    </row>
    <row r="61" spans="1:8" ht="15" x14ac:dyDescent="0.3">
      <c r="A61" s="133"/>
      <c r="B61" s="133"/>
      <c r="C61" s="135" t="str">
        <f>IF(C19="Yes","Total Capped Extension for "&amp;C9-1&amp;" ","Total Aggregate Extension for "&amp;C9-1&amp;" ")</f>
        <v xml:space="preserve">Total Capped Extension for 2024 </v>
      </c>
      <c r="D61" s="261">
        <f>SUM(D49:D59)</f>
        <v>0</v>
      </c>
      <c r="E61" s="262" t="str">
        <f>IF(E49&gt;0,SUM(E49:E59),"")</f>
        <v/>
      </c>
      <c r="F61" s="262" t="str">
        <f>IF(F49&gt;0,SUM(F49:F59),"")</f>
        <v/>
      </c>
      <c r="G61" s="262" t="str">
        <f>IF(G49&gt;0,SUM(G49:G59),"")</f>
        <v/>
      </c>
      <c r="H61" s="262" t="str">
        <f>IF(H49&gt;0,SUM(H49:H59),"")</f>
        <v/>
      </c>
    </row>
    <row r="62" spans="1:8" x14ac:dyDescent="0.3">
      <c r="A62" s="133"/>
      <c r="B62" s="133"/>
      <c r="C62" s="133"/>
      <c r="D62" s="133"/>
      <c r="E62" s="133"/>
      <c r="F62" s="133"/>
      <c r="G62" s="133"/>
      <c r="H62" s="133"/>
    </row>
    <row r="63" spans="1:8" ht="15" x14ac:dyDescent="0.3">
      <c r="A63" s="133"/>
      <c r="B63" s="133"/>
      <c r="C63" s="135" t="s">
        <v>167</v>
      </c>
      <c r="D63" s="120"/>
      <c r="E63" s="133"/>
      <c r="F63" s="138"/>
      <c r="G63" s="138"/>
      <c r="H63" s="138"/>
    </row>
    <row r="64" spans="1:8" ht="15" x14ac:dyDescent="0.3">
      <c r="A64" s="133"/>
      <c r="B64" s="133"/>
      <c r="C64" s="135"/>
      <c r="D64" s="133"/>
      <c r="E64" s="133"/>
      <c r="F64" s="133"/>
      <c r="G64" s="133"/>
      <c r="H64" s="133"/>
    </row>
    <row r="65" spans="1:8" ht="15" x14ac:dyDescent="0.3">
      <c r="A65" s="133"/>
      <c r="B65" s="133"/>
      <c r="C65" s="135" t="str">
        <f>"Bond and Interest Extension for "&amp;C9-1&amp;" "</f>
        <v xml:space="preserve">Bond and Interest Extension for 2024 </v>
      </c>
      <c r="D65" s="122">
        <f>SUM(E65:H65)</f>
        <v>0</v>
      </c>
      <c r="E65" s="129"/>
      <c r="F65" s="129"/>
      <c r="G65" s="129"/>
      <c r="H65" s="129"/>
    </row>
    <row r="66" spans="1:8" ht="15" x14ac:dyDescent="0.3">
      <c r="A66" s="135"/>
      <c r="B66" s="135"/>
      <c r="C66" s="135"/>
      <c r="D66" s="142"/>
      <c r="E66" s="133"/>
      <c r="F66" s="133"/>
      <c r="G66" s="133"/>
      <c r="H66" s="133"/>
    </row>
    <row r="67" spans="1:8" ht="15" x14ac:dyDescent="0.3">
      <c r="A67" s="135"/>
      <c r="B67" s="135"/>
      <c r="C67" s="135" t="str">
        <f>"Total "&amp;C9-1&amp;" Extension "</f>
        <v xml:space="preserve">Total 2024 Extension </v>
      </c>
      <c r="D67" s="122">
        <f>D61+D65+D63</f>
        <v>0</v>
      </c>
      <c r="E67" s="136" t="s">
        <v>100</v>
      </c>
      <c r="F67" s="136"/>
      <c r="G67" s="136"/>
      <c r="H67" s="136"/>
    </row>
    <row r="68" spans="1:8" ht="15" x14ac:dyDescent="0.3">
      <c r="A68" s="134"/>
      <c r="B68" s="134"/>
      <c r="C68" s="135"/>
      <c r="D68" s="133"/>
      <c r="E68" s="136" t="s">
        <v>99</v>
      </c>
      <c r="F68" s="136"/>
      <c r="G68" s="136"/>
      <c r="H68" s="136"/>
    </row>
    <row r="69" spans="1:8" x14ac:dyDescent="0.3">
      <c r="A69" s="143" t="s">
        <v>76</v>
      </c>
      <c r="B69" s="134"/>
      <c r="C69" s="133"/>
      <c r="D69" s="133"/>
      <c r="E69" s="133"/>
      <c r="F69" s="133"/>
      <c r="G69" s="133"/>
      <c r="H69" s="133"/>
    </row>
    <row r="70" spans="1:8" x14ac:dyDescent="0.3">
      <c r="A70" s="143" t="s">
        <v>75</v>
      </c>
      <c r="B70" s="134"/>
      <c r="C70" s="133"/>
      <c r="D70" s="133"/>
      <c r="E70" s="133"/>
      <c r="F70" s="133"/>
      <c r="G70" s="133"/>
      <c r="H70" s="133"/>
    </row>
    <row r="71" spans="1:8" x14ac:dyDescent="0.3">
      <c r="A71" s="134"/>
      <c r="B71" s="134"/>
      <c r="C71" s="134"/>
      <c r="D71" s="133"/>
      <c r="E71" s="133"/>
      <c r="F71" s="133"/>
      <c r="G71" s="133"/>
      <c r="H71" s="133"/>
    </row>
  </sheetData>
  <sheetProtection algorithmName="SHA-512" hashValue="UtxJkDBvocmowVVK18/BU2o9SQmc4WfxBi7jxKhXr8cq/M5LNCMSyd/LJYaLvMZnCA2AR7FwxqcfNMI9Gm2P7w==" saltValue="KlGRg7pzYh+vva5Xpr+NSg==" spinCount="100000" sheet="1" objects="1" scenarios="1"/>
  <mergeCells count="7">
    <mergeCell ref="E19:G21"/>
    <mergeCell ref="E45:G47"/>
    <mergeCell ref="E23:F24"/>
    <mergeCell ref="G37:H37"/>
    <mergeCell ref="G38:H38"/>
    <mergeCell ref="G39:H39"/>
    <mergeCell ref="G40:H40"/>
  </mergeCells>
  <phoneticPr fontId="10" type="noConversion"/>
  <conditionalFormatting sqref="A21 A28:B29 D28:D29">
    <cfRule type="expression" dxfId="105" priority="30" stopIfTrue="1">
      <formula>$C$19="No"</formula>
    </cfRule>
  </conditionalFormatting>
  <conditionalFormatting sqref="A36:C36">
    <cfRule type="expression" dxfId="104" priority="12">
      <formula>$C$32="No"</formula>
    </cfRule>
  </conditionalFormatting>
  <conditionalFormatting sqref="A34:D34">
    <cfRule type="expression" dxfId="103" priority="13">
      <formula>$C$32="Yes"</formula>
    </cfRule>
  </conditionalFormatting>
  <conditionalFormatting sqref="A36:D36">
    <cfRule type="expression" dxfId="102" priority="11">
      <formula>$C$19="Yes"</formula>
    </cfRule>
  </conditionalFormatting>
  <conditionalFormatting sqref="A38:D38">
    <cfRule type="expression" dxfId="101" priority="10" stopIfTrue="1">
      <formula>$C$19="No"</formula>
    </cfRule>
  </conditionalFormatting>
  <conditionalFormatting sqref="B32:D32">
    <cfRule type="expression" dxfId="100" priority="14">
      <formula>$C$19="Yes"</formula>
    </cfRule>
  </conditionalFormatting>
  <conditionalFormatting sqref="B63:D63">
    <cfRule type="expression" dxfId="99" priority="23">
      <formula>$C$19="No"</formula>
    </cfRule>
  </conditionalFormatting>
  <conditionalFormatting sqref="C28">
    <cfRule type="expression" dxfId="98" priority="31" stopIfTrue="1">
      <formula>$C$19="No"</formula>
    </cfRule>
  </conditionalFormatting>
  <conditionalFormatting sqref="C49">
    <cfRule type="expression" dxfId="97" priority="28">
      <formula>$A$49="N/A"</formula>
    </cfRule>
  </conditionalFormatting>
  <conditionalFormatting sqref="C51">
    <cfRule type="expression" dxfId="96" priority="26" stopIfTrue="1">
      <formula>$A$51="N/A"</formula>
    </cfRule>
  </conditionalFormatting>
  <conditionalFormatting sqref="D40:D41">
    <cfRule type="expression" dxfId="95" priority="5">
      <formula>$C$19="No"</formula>
    </cfRule>
  </conditionalFormatting>
  <conditionalFormatting sqref="F49">
    <cfRule type="expression" dxfId="94" priority="36" stopIfTrue="1">
      <formula>$C$14=""</formula>
    </cfRule>
  </conditionalFormatting>
  <conditionalFormatting sqref="F50:F59">
    <cfRule type="expression" dxfId="93" priority="33" stopIfTrue="1">
      <formula>$C$14=""</formula>
    </cfRule>
  </conditionalFormatting>
  <conditionalFormatting sqref="F61">
    <cfRule type="expression" dxfId="92" priority="18">
      <formula>"F42&gt;0"</formula>
    </cfRule>
    <cfRule type="expression" dxfId="91" priority="19" stopIfTrue="1">
      <formula>$C$14=""</formula>
    </cfRule>
  </conditionalFormatting>
  <conditionalFormatting sqref="F65">
    <cfRule type="expression" dxfId="90" priority="3">
      <formula>"F42&gt;0"</formula>
    </cfRule>
    <cfRule type="expression" dxfId="89" priority="4" stopIfTrue="1">
      <formula>$C$14=""</formula>
    </cfRule>
  </conditionalFormatting>
  <conditionalFormatting sqref="F48:H48">
    <cfRule type="expression" dxfId="88" priority="32" stopIfTrue="1">
      <formula>$C$14=""</formula>
    </cfRule>
  </conditionalFormatting>
  <conditionalFormatting sqref="G49:G59">
    <cfRule type="expression" dxfId="87" priority="34" stopIfTrue="1">
      <formula>$C$15=""</formula>
    </cfRule>
  </conditionalFormatting>
  <conditionalFormatting sqref="G61">
    <cfRule type="expression" dxfId="86" priority="16" stopIfTrue="1">
      <formula>$C$15=""</formula>
    </cfRule>
  </conditionalFormatting>
  <conditionalFormatting sqref="G65">
    <cfRule type="expression" dxfId="85" priority="1" stopIfTrue="1">
      <formula>$C$15=""</formula>
    </cfRule>
  </conditionalFormatting>
  <conditionalFormatting sqref="G37:H40">
    <cfRule type="expression" dxfId="84" priority="6" stopIfTrue="1">
      <formula>$C$13="Cook"</formula>
    </cfRule>
    <cfRule type="expression" dxfId="83" priority="7" stopIfTrue="1">
      <formula>$C$14="Cook"</formula>
    </cfRule>
    <cfRule type="expression" dxfId="82" priority="8" stopIfTrue="1">
      <formula>$C$15="Cook"</formula>
    </cfRule>
    <cfRule type="expression" dxfId="81" priority="9" stopIfTrue="1">
      <formula>$C$16="Cook"</formula>
    </cfRule>
  </conditionalFormatting>
  <conditionalFormatting sqref="H49:H59">
    <cfRule type="expression" dxfId="80" priority="35" stopIfTrue="1">
      <formula>$C$16=""</formula>
    </cfRule>
  </conditionalFormatting>
  <conditionalFormatting sqref="H61">
    <cfRule type="expression" dxfId="79" priority="17" stopIfTrue="1">
      <formula>$C$16=""</formula>
    </cfRule>
  </conditionalFormatting>
  <conditionalFormatting sqref="H65">
    <cfRule type="expression" dxfId="78" priority="2" stopIfTrue="1">
      <formula>$C$16=""</formula>
    </cfRule>
  </conditionalFormatting>
  <dataValidations count="3">
    <dataValidation type="list" showInputMessage="1" showErrorMessage="1" error="Please input only Yes or No" prompt="Is the District subject to PTELL - Tax Cap?" sqref="C19" xr:uid="{00000000-0002-0000-0200-000000000000}">
      <formula1>$AB$7:$AB$8</formula1>
    </dataValidation>
    <dataValidation type="list" showInputMessage="1" showErrorMessage="1" error="Please input only Yes or No" prompt="This determines individual fund maximums on the Calculations and Extension tabs" sqref="C21" xr:uid="{00000000-0002-0000-0200-000001000000}">
      <formula1>$AB$7:$AB$8</formula1>
    </dataValidation>
    <dataValidation type="list" showInputMessage="1" showErrorMessage="1" error="Please input only Yes or No" sqref="C32" xr:uid="{1684AF6F-83F5-4A98-B0CA-A7CD678AAF3B}">
      <formula1>$AB$7:$AB$8</formula1>
    </dataValidation>
  </dataValidations>
  <hyperlinks>
    <hyperlink ref="B5" r:id="rId1" xr:uid="{522EBCE5-0DD7-4A9D-90B7-7A2E76C4F72B}"/>
    <hyperlink ref="B4" r:id="rId2" xr:uid="{9C5D1736-E249-4285-80E6-F92CD2A8F8D4}"/>
    <hyperlink ref="B3" r:id="rId3" xr:uid="{39BA3A06-9DCF-4BE2-9580-9ECEC02FEFAE}"/>
  </hyperlinks>
  <pageMargins left="0.5" right="0.5" top="0.5" bottom="0.5" header="0.5" footer="0.5"/>
  <pageSetup scale="73" orientation="portrait" r:id="rId4"/>
  <headerFooter alignWithMargins="0"/>
  <ignoredErrors>
    <ignoredError sqref="A51 E61:H61"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rgb="FF00B0F0"/>
    <pageSetUpPr fitToPage="1"/>
  </sheetPr>
  <dimension ref="A1:L39"/>
  <sheetViews>
    <sheetView showGridLines="0" zoomScaleNormal="100" workbookViewId="0">
      <selection activeCell="C9" sqref="C9"/>
    </sheetView>
  </sheetViews>
  <sheetFormatPr defaultColWidth="0" defaultRowHeight="13" zeroHeight="1" x14ac:dyDescent="0.3"/>
  <cols>
    <col min="1" max="1" width="30" style="1" customWidth="1"/>
    <col min="2" max="2" width="18.7265625" style="1" customWidth="1"/>
    <col min="3" max="3" width="15.453125" style="1" customWidth="1"/>
    <col min="4" max="4" width="23" style="1" bestFit="1" customWidth="1"/>
    <col min="5" max="5" width="1.54296875" style="1" customWidth="1"/>
    <col min="6" max="6" width="21.7265625" style="1" customWidth="1"/>
    <col min="7" max="7" width="19.26953125" style="1" customWidth="1"/>
    <col min="8" max="8" width="19" style="1" customWidth="1"/>
    <col min="9" max="9" width="2.7265625" style="1" customWidth="1"/>
    <col min="10" max="10" width="19.7265625" style="1" customWidth="1"/>
    <col min="11" max="12" width="11.7265625" style="1" customWidth="1"/>
    <col min="13" max="13" width="0.7265625" style="1" customWidth="1"/>
    <col min="14" max="16384" width="0" style="1" hidden="1"/>
  </cols>
  <sheetData>
    <row r="1" spans="1:12" ht="15.75" customHeight="1" thickBot="1" x14ac:dyDescent="0.35">
      <c r="H1" s="108" t="s">
        <v>105</v>
      </c>
      <c r="J1" s="286" t="s">
        <v>104</v>
      </c>
      <c r="K1" s="286"/>
      <c r="L1" s="286"/>
    </row>
    <row r="2" spans="1:12" ht="15.75" customHeight="1" x14ac:dyDescent="0.35">
      <c r="A2" s="291" t="str">
        <f>Input!$C$9&amp;" LEVY CALCULATION PAGE "</f>
        <v xml:space="preserve">2025 LEVY CALCULATION PAGE </v>
      </c>
      <c r="B2" s="291"/>
      <c r="F2" s="2"/>
      <c r="G2" s="2" t="s">
        <v>118</v>
      </c>
      <c r="H2" s="151">
        <f>Input!$C$28</f>
        <v>2.9000000000000001E-2</v>
      </c>
      <c r="J2" s="277" t="s">
        <v>102</v>
      </c>
      <c r="K2" s="278"/>
      <c r="L2" s="279"/>
    </row>
    <row r="3" spans="1:12" ht="15.75" customHeight="1" x14ac:dyDescent="0.3">
      <c r="F3" s="3"/>
      <c r="G3" s="2" t="str">
        <f>"Actual Total EAV for "&amp;Input!C9-1&amp;" "</f>
        <v xml:space="preserve">Actual Total EAV for 2024 </v>
      </c>
      <c r="H3" s="113">
        <f>Input!$C$30</f>
        <v>0</v>
      </c>
      <c r="J3" s="280" t="s">
        <v>103</v>
      </c>
      <c r="K3" s="281"/>
      <c r="L3" s="282"/>
    </row>
    <row r="4" spans="1:12" ht="15.5" thickBot="1" x14ac:dyDescent="0.35">
      <c r="F4" s="2"/>
      <c r="I4" s="109"/>
      <c r="J4" s="283" t="s">
        <v>107</v>
      </c>
      <c r="K4" s="284"/>
      <c r="L4" s="285"/>
    </row>
    <row r="5" spans="1:12" ht="15" x14ac:dyDescent="0.3">
      <c r="A5" s="295" t="s">
        <v>73</v>
      </c>
      <c r="B5" s="292" t="s">
        <v>77</v>
      </c>
      <c r="C5" s="292"/>
      <c r="D5" s="292"/>
      <c r="F5" s="2"/>
      <c r="G5" s="2" t="str">
        <f>"Estimated Existing EAV % change for "&amp;Input!C9&amp;" "</f>
        <v xml:space="preserve">Estimated Existing EAV % change for 2025 </v>
      </c>
      <c r="H5" s="151">
        <f>IF(Input!$C$19="Yes",Input!$C$34,Input!$C$41)</f>
        <v>0</v>
      </c>
      <c r="I5" s="109"/>
    </row>
    <row r="6" spans="1:12" ht="15" x14ac:dyDescent="0.3">
      <c r="A6" s="295"/>
      <c r="B6" s="293" t="s">
        <v>101</v>
      </c>
      <c r="C6" s="293"/>
      <c r="D6" s="293"/>
      <c r="F6" s="2"/>
      <c r="G6" s="2" t="str">
        <f>"Estimated Existing EAV Value for "&amp;Input!C9&amp;" "</f>
        <v xml:space="preserve">Estimated Existing EAV Value for 2025 </v>
      </c>
      <c r="H6" s="113">
        <f>H3*(1+H5)</f>
        <v>0</v>
      </c>
      <c r="I6" s="109"/>
    </row>
    <row r="7" spans="1:12" ht="15.75" customHeight="1" x14ac:dyDescent="0.3">
      <c r="F7" s="3"/>
      <c r="G7" s="3"/>
    </row>
    <row r="8" spans="1:12" ht="15" x14ac:dyDescent="0.3">
      <c r="F8" s="2"/>
      <c r="G8" s="2" t="str">
        <f>"Estimated New Property for "&amp;Input!C9&amp;" "</f>
        <v xml:space="preserve">Estimated New Property for 2025 </v>
      </c>
      <c r="H8" s="113">
        <f>IF(Input!$C$19="No",0,Input!$C$38)</f>
        <v>0</v>
      </c>
    </row>
    <row r="9" spans="1:12" ht="15" x14ac:dyDescent="0.3">
      <c r="A9" s="6" t="s">
        <v>134</v>
      </c>
      <c r="B9" s="155" t="e">
        <f>IF(Input!C19="Yes",Input!D61*(1+MIN(0.05,Input!$C$28))/(Input!$C$40-Input!C38)*100,"N/A")</f>
        <v>#DIV/0!</v>
      </c>
      <c r="C9" s="7"/>
    </row>
    <row r="10" spans="1:12" ht="15" x14ac:dyDescent="0.3">
      <c r="A10" s="6" t="s">
        <v>135</v>
      </c>
      <c r="B10" s="123" t="e">
        <f>IF(Input!C19="Yes",(B9*Input!C40)/100,"N/A")</f>
        <v>#DIV/0!</v>
      </c>
      <c r="C10" s="8"/>
      <c r="F10" s="2"/>
      <c r="G10" s="2" t="str">
        <f>"Estimated Total EAV for "&amp;Input!C9&amp;" "</f>
        <v xml:space="preserve">Estimated Total EAV for 2025 </v>
      </c>
      <c r="H10" s="152">
        <f>Input!$C$40</f>
        <v>0</v>
      </c>
      <c r="I10" s="109" t="s">
        <v>108</v>
      </c>
    </row>
    <row r="11" spans="1:12" ht="15" x14ac:dyDescent="0.3">
      <c r="F11" s="2"/>
      <c r="G11" s="2" t="str">
        <f>"Estimated Total EAV % change for "&amp;Input!C9&amp;" "</f>
        <v xml:space="preserve">Estimated Total EAV % change for 2025 </v>
      </c>
      <c r="H11" s="150" t="e">
        <f>Input!$C$41</f>
        <v>#DIV/0!</v>
      </c>
      <c r="I11" s="109" t="s">
        <v>108</v>
      </c>
    </row>
    <row r="12" spans="1:12" ht="12.75" customHeight="1" x14ac:dyDescent="0.3">
      <c r="F12" s="290" t="str">
        <f>IF(Input!C19="Yes","Weighted Extension Based on Prior Year Extension","Individual Fund Estimated Maximum Extension")</f>
        <v>Weighted Extension Based on Prior Year Extension</v>
      </c>
      <c r="G12" s="290" t="str">
        <f>IF(Input!C19="Yes","Levy Amount $","Levy Amount $")</f>
        <v>Levy Amount $</v>
      </c>
      <c r="H12" s="290" t="s">
        <v>182</v>
      </c>
    </row>
    <row r="13" spans="1:12" ht="36" customHeight="1" x14ac:dyDescent="0.3">
      <c r="B13" s="9" t="s">
        <v>133</v>
      </c>
      <c r="C13" s="9" t="s">
        <v>165</v>
      </c>
      <c r="D13" s="9" t="str">
        <f>IF(Input!$C$21="no","Individual Fund Estimated Maximum Extension","Individual Fund Estimated Maximum Extension using Prior Year EAV")</f>
        <v>Individual Fund Estimated Maximum Extension</v>
      </c>
      <c r="F13" s="294"/>
      <c r="G13" s="294"/>
      <c r="H13" s="294"/>
      <c r="J13" s="10" t="s">
        <v>183</v>
      </c>
      <c r="K13" s="290" t="s">
        <v>168</v>
      </c>
      <c r="L13" s="290"/>
    </row>
    <row r="14" spans="1:12" ht="15" x14ac:dyDescent="0.3">
      <c r="A14" s="2" t="s">
        <v>122</v>
      </c>
      <c r="B14" s="119">
        <f>Input!D49</f>
        <v>0</v>
      </c>
      <c r="C14" s="243">
        <f>Input!C49</f>
        <v>0</v>
      </c>
      <c r="D14" s="119">
        <f>IF(Input!$C$21="no",C14*Input!$C$40,C14*($H$3+$H$8))/100</f>
        <v>0</v>
      </c>
      <c r="F14" s="119" t="e">
        <f>IF(Input!$C$19="Yes",B14/$B$27*$B$10,D14)</f>
        <v>#DIV/0!</v>
      </c>
      <c r="G14" s="115"/>
      <c r="H14" s="124"/>
      <c r="J14" s="119" t="e">
        <f>ROUNDUP(IF(G14="",F14*(1+H14),G14*(1+H14)),0)</f>
        <v>#DIV/0!</v>
      </c>
      <c r="K14" s="288" t="str">
        <f>IF(Input!$C$19="Yes","",IF(J14&gt;=D14,"YES","NO"))</f>
        <v/>
      </c>
      <c r="L14" s="289"/>
    </row>
    <row r="15" spans="1:12" ht="15" x14ac:dyDescent="0.3">
      <c r="A15" s="2" t="s">
        <v>123</v>
      </c>
      <c r="B15" s="119">
        <f>Input!D50</f>
        <v>0</v>
      </c>
      <c r="C15" s="243">
        <f>Input!C50</f>
        <v>0</v>
      </c>
      <c r="D15" s="119">
        <f>IF(Input!$C$21="no",C15*Input!$C$40,C15*($H$3+$H$8))/100</f>
        <v>0</v>
      </c>
      <c r="F15" s="119" t="e">
        <f>IF(Input!$C$19="Yes",B15/$B$27*$B$10,D15)</f>
        <v>#DIV/0!</v>
      </c>
      <c r="G15" s="115"/>
      <c r="H15" s="124"/>
      <c r="J15" s="119" t="e">
        <f>ROUNDUP(IF(G15="",F15*(1+H15),G15*(1+H15)),0)</f>
        <v>#DIV/0!</v>
      </c>
      <c r="K15" s="288" t="str">
        <f>IF(Input!$C$19="Yes","",IF(J15&gt;=D15,"YES","NO"))</f>
        <v/>
      </c>
      <c r="L15" s="289"/>
    </row>
    <row r="16" spans="1:12" ht="15" x14ac:dyDescent="0.3">
      <c r="A16" s="2" t="s">
        <v>124</v>
      </c>
      <c r="B16" s="119">
        <f>Input!D51</f>
        <v>0</v>
      </c>
      <c r="C16" s="243">
        <f>Input!C51</f>
        <v>0</v>
      </c>
      <c r="D16" s="119">
        <f>IF(Input!$C$21="no",C16*Input!$C$40,C16*($H$3+$H$8))/100</f>
        <v>0</v>
      </c>
      <c r="F16" s="119" t="e">
        <f>IF(Input!$C$19="Yes",B16/$B$27*$B$10,D16)</f>
        <v>#DIV/0!</v>
      </c>
      <c r="G16" s="115"/>
      <c r="H16" s="124"/>
      <c r="J16" s="119" t="e">
        <f>ROUNDUP(IF(G16="",F16*(1+H16),G16*(1+H16)),0)</f>
        <v>#DIV/0!</v>
      </c>
      <c r="K16" s="288" t="str">
        <f>IF(Input!$C$19="Yes","",IF(J16&gt;=D16,"YES","NO"))</f>
        <v/>
      </c>
      <c r="L16" s="289"/>
    </row>
    <row r="17" spans="1:12" ht="15" x14ac:dyDescent="0.3">
      <c r="A17" s="2" t="s">
        <v>125</v>
      </c>
      <c r="B17" s="119">
        <f>Input!D52</f>
        <v>0</v>
      </c>
      <c r="C17" s="243">
        <f>Input!C52</f>
        <v>0</v>
      </c>
      <c r="D17" s="119">
        <f>IF(Input!$C$21="no",C17*Input!$C$40,C17*($H$3+$H$8))/100</f>
        <v>0</v>
      </c>
      <c r="F17" s="119" t="e">
        <f>IF(Input!$C$19="Yes",B17/$B$27*$B$10,D17)</f>
        <v>#DIV/0!</v>
      </c>
      <c r="G17" s="115"/>
      <c r="H17" s="124"/>
      <c r="J17" s="119" t="e">
        <f>ROUNDUP(IF(G17="",F17*(1+H17),G17*(1+H17)),0)</f>
        <v>#DIV/0!</v>
      </c>
      <c r="K17" s="288" t="str">
        <f>IF(Input!$C$19="Yes","",IF(J17&gt;=D17,"YES","NO"))</f>
        <v/>
      </c>
      <c r="L17" s="289"/>
    </row>
    <row r="18" spans="1:12" ht="15" x14ac:dyDescent="0.3">
      <c r="A18" s="2" t="s">
        <v>126</v>
      </c>
      <c r="B18" s="119">
        <f>Input!D53</f>
        <v>0</v>
      </c>
      <c r="C18" s="244"/>
      <c r="D18" s="245" t="str">
        <f>IF(Input!C19="Yes","$0.00 ","Input in Manual Override")</f>
        <v xml:space="preserve">$0.00 </v>
      </c>
      <c r="F18" s="119" t="e">
        <f>IF(Input!$C$19="Yes",B18/$B$27*$B$10,"Levy Amount $ Required")</f>
        <v>#DIV/0!</v>
      </c>
      <c r="G18" s="115"/>
      <c r="H18" s="124"/>
      <c r="J18" s="119" t="e">
        <f t="shared" ref="J18:J21" si="0">ROUND(IF(G18="",F18*(1+H18),G18*(1+H18)),0)</f>
        <v>#DIV/0!</v>
      </c>
      <c r="K18" s="288" t="str">
        <f>IF(Input!$C$19="Yes"," ","N/A")</f>
        <v xml:space="preserve"> </v>
      </c>
      <c r="L18" s="289"/>
    </row>
    <row r="19" spans="1:12" ht="15" x14ac:dyDescent="0.3">
      <c r="A19" s="2" t="s">
        <v>127</v>
      </c>
      <c r="B19" s="119">
        <f>Input!D54</f>
        <v>0</v>
      </c>
      <c r="C19" s="244"/>
      <c r="D19" s="245" t="str">
        <f>IF(Input!C19="Yes","$0.00 ","Input in Manual Override")</f>
        <v xml:space="preserve">$0.00 </v>
      </c>
      <c r="F19" s="119" t="e">
        <f>IF(Input!$C$19="Yes",B19/$B$27*$B$10,"Levy Amount $ Required")</f>
        <v>#DIV/0!</v>
      </c>
      <c r="G19" s="115"/>
      <c r="H19" s="124"/>
      <c r="J19" s="119" t="e">
        <f t="shared" si="0"/>
        <v>#DIV/0!</v>
      </c>
      <c r="K19" s="288" t="str">
        <f>IF(Input!$C$19="Yes"," ","N/A")</f>
        <v xml:space="preserve"> </v>
      </c>
      <c r="L19" s="289"/>
    </row>
    <row r="20" spans="1:12" ht="15" x14ac:dyDescent="0.3">
      <c r="A20" s="2" t="s">
        <v>128</v>
      </c>
      <c r="B20" s="119">
        <f>Input!D55</f>
        <v>0</v>
      </c>
      <c r="C20" s="243">
        <f>Input!C55</f>
        <v>0</v>
      </c>
      <c r="D20" s="119">
        <f>IF(Input!$C$21="no",C20*Input!$C$40,C20*($H$3+$H$8))/100</f>
        <v>0</v>
      </c>
      <c r="F20" s="119" t="e">
        <f>IF(Input!$C$19="Yes",B20/$B$27*$B$10,D20)</f>
        <v>#DIV/0!</v>
      </c>
      <c r="G20" s="115"/>
      <c r="H20" s="124"/>
      <c r="J20" s="119" t="e">
        <f>ROUNDUP(IF(G20="",F20*(1+H20),G20*(1+H20)),0)</f>
        <v>#DIV/0!</v>
      </c>
      <c r="K20" s="288" t="str">
        <f>IF(Input!$C$19="Yes","",IF(J20&gt;=D20,"YES","NO"))</f>
        <v/>
      </c>
      <c r="L20" s="289"/>
    </row>
    <row r="21" spans="1:12" ht="15" x14ac:dyDescent="0.3">
      <c r="A21" s="2" t="s">
        <v>129</v>
      </c>
      <c r="B21" s="119">
        <f>Input!D56</f>
        <v>0</v>
      </c>
      <c r="C21" s="244"/>
      <c r="D21" s="245" t="str">
        <f>IF(Input!C19="Yes","$0.00 ","Input in Manual Override")</f>
        <v xml:space="preserve">$0.00 </v>
      </c>
      <c r="F21" s="119" t="e">
        <f>IF(Input!$C$19="Yes",B21/$B$27*$B$10,"Levy Amount $ Required")</f>
        <v>#DIV/0!</v>
      </c>
      <c r="G21" s="115"/>
      <c r="H21" s="124"/>
      <c r="J21" s="119" t="e">
        <f t="shared" si="0"/>
        <v>#DIV/0!</v>
      </c>
      <c r="K21" s="288" t="str">
        <f>IF(Input!$C$19="Yes"," ","N/A")</f>
        <v xml:space="preserve"> </v>
      </c>
      <c r="L21" s="289"/>
    </row>
    <row r="22" spans="1:12" ht="15" x14ac:dyDescent="0.3">
      <c r="A22" s="2" t="s">
        <v>130</v>
      </c>
      <c r="B22" s="119">
        <f>Input!D57</f>
        <v>0</v>
      </c>
      <c r="C22" s="243">
        <f>Input!C57</f>
        <v>0</v>
      </c>
      <c r="D22" s="119">
        <f>IF(Input!$C$21="no",C22*Input!$C$40,C22*($H$3+$H$8))/100</f>
        <v>0</v>
      </c>
      <c r="F22" s="119" t="e">
        <f>IF(Input!$C$19="Yes",B22/$B$27*$B$10,D22)</f>
        <v>#DIV/0!</v>
      </c>
      <c r="G22" s="115"/>
      <c r="H22" s="124"/>
      <c r="J22" s="119" t="e">
        <f>ROUNDUP(IF(G22="",F22*(1+H22),G22*(1+H22)),0)</f>
        <v>#DIV/0!</v>
      </c>
      <c r="K22" s="288" t="str">
        <f>IF(Input!$C$19="Yes","",IF(J22&gt;=D22,"YES","NO"))</f>
        <v/>
      </c>
      <c r="L22" s="289"/>
    </row>
    <row r="23" spans="1:12" ht="15" x14ac:dyDescent="0.3">
      <c r="A23" s="2" t="s">
        <v>131</v>
      </c>
      <c r="B23" s="119">
        <f>Input!D58</f>
        <v>0</v>
      </c>
      <c r="C23" s="243">
        <f>Input!C58</f>
        <v>0</v>
      </c>
      <c r="D23" s="119">
        <f>IF(Input!$C$21="no",C23*Input!$C$40,C23*($H$3+$H$8))/100</f>
        <v>0</v>
      </c>
      <c r="F23" s="119" t="e">
        <f>IF(Input!$C$19="Yes",B23/$B$27*$B$10,D23)</f>
        <v>#DIV/0!</v>
      </c>
      <c r="G23" s="115"/>
      <c r="H23" s="124"/>
      <c r="J23" s="119" t="e">
        <f>ROUNDUP(IF(G23="",F23*(1+H23),G23*(1+H23)),0)</f>
        <v>#DIV/0!</v>
      </c>
      <c r="K23" s="288" t="str">
        <f>IF(Input!$C$19="Yes","",IF(J23&gt;=D23,"YES","NO"))</f>
        <v/>
      </c>
      <c r="L23" s="289"/>
    </row>
    <row r="24" spans="1:12" ht="15" x14ac:dyDescent="0.3">
      <c r="A24" s="2" t="str">
        <f>Input!B59</f>
        <v xml:space="preserve"> </v>
      </c>
      <c r="B24" s="119">
        <f>Input!D59</f>
        <v>0</v>
      </c>
      <c r="C24" s="243">
        <f>Input!C59</f>
        <v>0</v>
      </c>
      <c r="D24" s="119">
        <f>IF(Input!$C$21="no",C24*Input!$C$40,C24*($H$3+$H$8))/100</f>
        <v>0</v>
      </c>
      <c r="F24" s="119" t="e">
        <f>IF(Input!$C$19="Yes",B24/$B$27*$B$10,D24)</f>
        <v>#DIV/0!</v>
      </c>
      <c r="G24" s="115"/>
      <c r="H24" s="124"/>
      <c r="J24" s="119" t="e">
        <f>ROUNDUP(IF(G24="",F24*(1+H24),G24*(1+H24)),0)</f>
        <v>#DIV/0!</v>
      </c>
      <c r="K24" s="288" t="str">
        <f>IF(Input!$C$19="Yes","",IF(J24&gt;=D24,"YES","NO"))</f>
        <v/>
      </c>
      <c r="L24" s="289"/>
    </row>
    <row r="25" spans="1:12" s="133" customFormat="1" ht="8.25" customHeight="1" x14ac:dyDescent="0.3">
      <c r="A25" s="135"/>
      <c r="B25" s="141"/>
      <c r="C25" s="246"/>
      <c r="D25" s="141"/>
      <c r="F25" s="141"/>
      <c r="G25" s="183"/>
      <c r="H25" s="184"/>
      <c r="J25" s="141"/>
    </row>
    <row r="26" spans="1:12" ht="21" customHeight="1" thickBot="1" x14ac:dyDescent="0.35">
      <c r="B26" s="4"/>
      <c r="C26" s="4"/>
      <c r="K26" s="287" t="s">
        <v>74</v>
      </c>
      <c r="L26" s="287"/>
    </row>
    <row r="27" spans="1:12" ht="15.5" thickBot="1" x14ac:dyDescent="0.35">
      <c r="A27" s="2" t="str">
        <f>IF(Input!C19="Yes","Capped Extension ","Extension  ")</f>
        <v xml:space="preserve">Capped Extension </v>
      </c>
      <c r="B27" s="122">
        <f>SUM(B14:B24)</f>
        <v>0</v>
      </c>
      <c r="C27" s="187"/>
      <c r="D27" s="247">
        <f>SUM(D14:D24)</f>
        <v>0</v>
      </c>
      <c r="F27" s="122" t="e">
        <f>SUM(F14:F24)</f>
        <v>#DIV/0!</v>
      </c>
      <c r="G27" s="188">
        <f>SUM(G14:G26)</f>
        <v>0</v>
      </c>
      <c r="I27" s="2" t="str">
        <f>IF(Input!C19="Yes","Capped Levy ","District Levy ")</f>
        <v xml:space="preserve">Capped Levy </v>
      </c>
      <c r="J27" s="248" t="e">
        <f>SUM(J14:J24)</f>
        <v>#DIV/0!</v>
      </c>
      <c r="K27" s="249" t="e">
        <f>(J27+J31)/(B27+B31)-1</f>
        <v>#DIV/0!</v>
      </c>
      <c r="L27" s="182" t="e">
        <f>IF(K27&gt;0.05,"YES","NO")</f>
        <v>#DIV/0!</v>
      </c>
    </row>
    <row r="28" spans="1:12" ht="15.5" thickBot="1" x14ac:dyDescent="0.35">
      <c r="A28" s="2"/>
      <c r="J28" s="136"/>
      <c r="K28" s="276" t="s">
        <v>166</v>
      </c>
      <c r="L28" s="276"/>
    </row>
    <row r="29" spans="1:12" ht="15.5" thickBot="1" x14ac:dyDescent="0.35">
      <c r="A29" s="2"/>
      <c r="G29" s="133"/>
      <c r="H29" s="133"/>
      <c r="I29" s="135" t="e">
        <f>IF(J29&lt;0,"Levy Amount Below Estimated Extension ","Levy Amount Above Estimated Extension ")</f>
        <v>#DIV/0!</v>
      </c>
      <c r="J29" s="250" t="e">
        <f>IF(Input!C19="Yes",J27-B10,"N/A")</f>
        <v>#DIV/0!</v>
      </c>
    </row>
    <row r="30" spans="1:12" ht="15" x14ac:dyDescent="0.3">
      <c r="A30" s="2"/>
      <c r="I30" s="3"/>
      <c r="J30" s="251"/>
    </row>
    <row r="31" spans="1:12" ht="15" x14ac:dyDescent="0.3">
      <c r="A31" s="2" t="s">
        <v>179</v>
      </c>
      <c r="B31" s="122">
        <f>Input!D63</f>
        <v>0</v>
      </c>
      <c r="C31" s="109"/>
      <c r="F31" s="2" t="s">
        <v>136</v>
      </c>
      <c r="G31" s="120"/>
      <c r="H31" s="111"/>
      <c r="I31" s="2" t="s">
        <v>178</v>
      </c>
      <c r="J31" s="122">
        <f>G31</f>
        <v>0</v>
      </c>
      <c r="K31" s="111"/>
    </row>
    <row r="32" spans="1:12" ht="19.5" customHeight="1" thickBot="1" x14ac:dyDescent="0.35">
      <c r="A32" s="2"/>
      <c r="G32" s="185" t="s">
        <v>157</v>
      </c>
    </row>
    <row r="33" spans="1:11" ht="15.5" thickBot="1" x14ac:dyDescent="0.35">
      <c r="A33" s="2" t="s">
        <v>170</v>
      </c>
      <c r="B33" s="122">
        <f>Input!D65</f>
        <v>0</v>
      </c>
      <c r="C33" s="11"/>
      <c r="F33" s="2" t="s">
        <v>137</v>
      </c>
      <c r="G33" s="120"/>
      <c r="H33" s="109"/>
      <c r="I33" s="2" t="s">
        <v>176</v>
      </c>
      <c r="J33" s="122">
        <f>G33</f>
        <v>0</v>
      </c>
      <c r="K33" s="249" t="e">
        <f>J33/B33-1</f>
        <v>#DIV/0!</v>
      </c>
    </row>
    <row r="34" spans="1:11" ht="15" x14ac:dyDescent="0.3">
      <c r="A34" s="2"/>
      <c r="B34" s="12"/>
      <c r="C34" s="5"/>
      <c r="D34" s="5"/>
      <c r="G34" s="185" t="s">
        <v>158</v>
      </c>
      <c r="I34" s="2"/>
      <c r="J34" s="13"/>
      <c r="K34" s="72"/>
    </row>
    <row r="35" spans="1:11" ht="15.5" thickBot="1" x14ac:dyDescent="0.35">
      <c r="A35" s="2"/>
      <c r="B35" s="12"/>
      <c r="C35" s="5"/>
      <c r="D35" s="5"/>
      <c r="G35" s="185"/>
      <c r="K35" s="72"/>
    </row>
    <row r="36" spans="1:11" ht="15.5" thickBot="1" x14ac:dyDescent="0.35">
      <c r="A36" s="2" t="s">
        <v>171</v>
      </c>
      <c r="B36" s="122">
        <f>B27+B33+B31</f>
        <v>0</v>
      </c>
      <c r="C36" s="11"/>
      <c r="I36" s="2" t="s">
        <v>138</v>
      </c>
      <c r="J36" s="122" t="e">
        <f>J27+J33+J31</f>
        <v>#DIV/0!</v>
      </c>
      <c r="K36" s="249" t="e">
        <f>J36/B36-1</f>
        <v>#DIV/0!</v>
      </c>
    </row>
    <row r="37" spans="1:11" ht="15" x14ac:dyDescent="0.3">
      <c r="C37" s="4"/>
      <c r="I37" s="2"/>
      <c r="J37"/>
    </row>
    <row r="38" spans="1:11" ht="4.5" customHeight="1" x14ac:dyDescent="0.3">
      <c r="C38" s="4"/>
    </row>
    <row r="39" spans="1:11" hidden="1" x14ac:dyDescent="0.3">
      <c r="C39" s="4"/>
    </row>
  </sheetData>
  <sheetProtection algorithmName="SHA-512" hashValue="hbM8ck+bjdrpGIAhTwUFdPXXMsSp/n4W+gRP8HP+xJspyQOqrkrfSGejb4RnoCIJfvcLMfhvM1EKVJrZ2IhJhw==" saltValue="tgUHRYax8qsTqAHBGUm87g==" spinCount="100000" sheet="1" objects="1" scenarios="1"/>
  <mergeCells count="25">
    <mergeCell ref="K16:L16"/>
    <mergeCell ref="K17:L17"/>
    <mergeCell ref="A2:B2"/>
    <mergeCell ref="B5:D5"/>
    <mergeCell ref="B6:D6"/>
    <mergeCell ref="H12:H13"/>
    <mergeCell ref="F12:F13"/>
    <mergeCell ref="G12:G13"/>
    <mergeCell ref="A5:A6"/>
    <mergeCell ref="K28:L28"/>
    <mergeCell ref="J2:L2"/>
    <mergeCell ref="J3:L3"/>
    <mergeCell ref="J4:L4"/>
    <mergeCell ref="J1:L1"/>
    <mergeCell ref="K26:L26"/>
    <mergeCell ref="K20:L20"/>
    <mergeCell ref="K22:L22"/>
    <mergeCell ref="K23:L23"/>
    <mergeCell ref="K24:L24"/>
    <mergeCell ref="K18:L18"/>
    <mergeCell ref="K19:L19"/>
    <mergeCell ref="K21:L21"/>
    <mergeCell ref="K13:L13"/>
    <mergeCell ref="K14:L14"/>
    <mergeCell ref="K15:L15"/>
  </mergeCells>
  <phoneticPr fontId="10" type="noConversion"/>
  <conditionalFormatting sqref="A9:B10">
    <cfRule type="expression" dxfId="77" priority="72" stopIfTrue="1">
      <formula>$B$9="N/A"</formula>
    </cfRule>
  </conditionalFormatting>
  <conditionalFormatting sqref="A5:D6">
    <cfRule type="expression" dxfId="76" priority="71" stopIfTrue="1">
      <formula>$B$9="N/A"</formula>
    </cfRule>
  </conditionalFormatting>
  <conditionalFormatting sqref="G29:I29">
    <cfRule type="expression" dxfId="66" priority="58">
      <formula>$J$29&lt;0</formula>
    </cfRule>
  </conditionalFormatting>
  <conditionalFormatting sqref="J29">
    <cfRule type="cellIs" dxfId="61" priority="69" stopIfTrue="1" operator="lessThan">
      <formula>0</formula>
    </cfRule>
  </conditionalFormatting>
  <conditionalFormatting sqref="K18">
    <cfRule type="expression" dxfId="60" priority="41">
      <formula>$K$18="N/A"</formula>
    </cfRule>
  </conditionalFormatting>
  <conditionalFormatting sqref="K19">
    <cfRule type="expression" dxfId="59" priority="40">
      <formula>$K$19="N/A"</formula>
    </cfRule>
  </conditionalFormatting>
  <conditionalFormatting sqref="K28">
    <cfRule type="expression" dxfId="58" priority="56">
      <formula>$L$27="No"</formula>
    </cfRule>
  </conditionalFormatting>
  <conditionalFormatting sqref="K14:L17">
    <cfRule type="expression" dxfId="56" priority="38">
      <formula>$K14="YES"</formula>
    </cfRule>
    <cfRule type="expression" dxfId="55" priority="49">
      <formula>$K14="NO"</formula>
    </cfRule>
  </conditionalFormatting>
  <conditionalFormatting sqref="K20:L20 K22:L24">
    <cfRule type="expression" dxfId="54" priority="5">
      <formula>$K20="YES"</formula>
    </cfRule>
    <cfRule type="expression" dxfId="53" priority="6">
      <formula>$K20="NO"</formula>
    </cfRule>
  </conditionalFormatting>
  <conditionalFormatting sqref="K21:L21">
    <cfRule type="expression" dxfId="52" priority="39">
      <formula>$K$21="N/A"</formula>
    </cfRule>
  </conditionalFormatting>
  <conditionalFormatting sqref="L27">
    <cfRule type="cellIs" dxfId="51" priority="70" stopIfTrue="1" operator="equal">
      <formula>"YES"</formula>
    </cfRule>
  </conditionalFormatting>
  <pageMargins left="0.4" right="0.4" top="0.73" bottom="0.79" header="0.5" footer="0.49"/>
  <pageSetup scale="68" orientation="landscape" r:id="rId1"/>
  <headerFooter alignWithMargins="0"/>
  <ignoredErrors>
    <ignoredError sqref="D20:D21 F20" formula="1"/>
  </ignoredErrors>
  <extLst>
    <ext xmlns:x14="http://schemas.microsoft.com/office/spreadsheetml/2009/9/main" uri="{78C0D931-6437-407d-A8EE-F0AAD7539E65}">
      <x14:conditionalFormattings>
        <x14:conditionalFormatting xmlns:xm="http://schemas.microsoft.com/office/excel/2006/main">
          <x14:cfRule type="expression" priority="8" id="{ECC4C718-B608-4D3B-915A-B1A1477C0A75}">
            <xm:f>Input!$C$19="No"</xm:f>
            <x14:dxf>
              <font>
                <color theme="0"/>
              </font>
              <fill>
                <patternFill>
                  <bgColor theme="0"/>
                </patternFill>
              </fill>
              <border>
                <left/>
                <right/>
                <top/>
                <bottom/>
                <vertical/>
                <horizontal/>
              </border>
            </x14:dxf>
          </x14:cfRule>
          <xm:sqref>A31:H31 J31:L31</xm:sqref>
        </x14:conditionalFormatting>
        <x14:conditionalFormatting xmlns:xm="http://schemas.microsoft.com/office/excel/2006/main">
          <x14:cfRule type="expression" priority="63" id="{7BD4A2EA-279A-44A6-8DA4-9A64EED0F4CC}">
            <xm:f>Input!$A$49="N/A"</xm:f>
            <x14:dxf>
              <fill>
                <patternFill>
                  <bgColor theme="1"/>
                </patternFill>
              </fill>
            </x14:dxf>
          </x14:cfRule>
          <xm:sqref>C14:D14</xm:sqref>
        </x14:conditionalFormatting>
        <x14:conditionalFormatting xmlns:xm="http://schemas.microsoft.com/office/excel/2006/main">
          <x14:cfRule type="expression" priority="61" id="{C1F72874-620E-48B5-A02A-D9B1527787D5}">
            <xm:f>Input!$A$51="N/A"</xm:f>
            <x14:dxf>
              <fill>
                <patternFill>
                  <bgColor theme="1"/>
                </patternFill>
              </fill>
            </x14:dxf>
          </x14:cfRule>
          <xm:sqref>C16:D16</xm:sqref>
        </x14:conditionalFormatting>
        <x14:conditionalFormatting xmlns:xm="http://schemas.microsoft.com/office/excel/2006/main">
          <x14:cfRule type="expression" priority="59" id="{AFC2C999-DD89-4C2F-97EF-46D1B224C6D4}">
            <xm:f>Input!$C$19="Yes"</xm:f>
            <x14:dxf>
              <font>
                <color theme="0"/>
              </font>
              <fill>
                <patternFill>
                  <bgColor theme="0"/>
                </patternFill>
              </fill>
              <border>
                <left/>
                <right/>
                <top/>
                <bottom/>
                <vertical/>
                <horizontal/>
              </border>
            </x14:dxf>
          </x14:cfRule>
          <xm:sqref>D27</xm:sqref>
        </x14:conditionalFormatting>
        <x14:conditionalFormatting xmlns:xm="http://schemas.microsoft.com/office/excel/2006/main">
          <x14:cfRule type="expression" priority="51" id="{7CB6334F-FA46-45F7-BE39-DBC48A053A53}">
            <xm:f>Input!$C$19="No"</xm:f>
            <x14:dxf>
              <font>
                <color theme="0"/>
              </font>
              <fill>
                <patternFill>
                  <bgColor theme="0"/>
                </patternFill>
              </fill>
              <border>
                <left/>
                <right/>
                <top/>
                <bottom/>
                <vertical/>
                <horizontal/>
              </border>
            </x14:dxf>
          </x14:cfRule>
          <xm:sqref>F27</xm:sqref>
        </x14:conditionalFormatting>
        <x14:conditionalFormatting xmlns:xm="http://schemas.microsoft.com/office/excel/2006/main">
          <x14:cfRule type="expression" priority="2" id="{DF7B35EE-1B3A-4782-905C-EE6CC3CD5842}">
            <xm:f>Input!$C$19="No"</xm:f>
            <x14:dxf>
              <font>
                <color theme="0"/>
              </font>
              <fill>
                <patternFill patternType="none">
                  <bgColor auto="1"/>
                </patternFill>
              </fill>
              <border>
                <left/>
                <right/>
                <top/>
                <bottom/>
                <vertical/>
                <horizontal/>
              </border>
            </x14:dxf>
          </x14:cfRule>
          <xm:sqref>F8:H8</xm:sqref>
        </x14:conditionalFormatting>
        <x14:conditionalFormatting xmlns:xm="http://schemas.microsoft.com/office/excel/2006/main">
          <x14:cfRule type="expression" priority="53" id="{656AB4A6-6A36-44E4-90CE-14540CD05FFC}">
            <xm:f>Input!$C$19="No"</xm:f>
            <x14:dxf>
              <font>
                <color theme="0"/>
              </font>
            </x14:dxf>
          </x14:cfRule>
          <xm:sqref>G2</xm:sqref>
        </x14:conditionalFormatting>
        <x14:conditionalFormatting xmlns:xm="http://schemas.microsoft.com/office/excel/2006/main">
          <x14:cfRule type="expression" priority="52" id="{9A6FF348-BDC9-4975-B2E6-12B961D4AA49}">
            <xm:f>Input!$C$19="Yes"</xm:f>
            <x14:dxf>
              <font>
                <color theme="0"/>
              </font>
              <fill>
                <patternFill>
                  <bgColor theme="0"/>
                </patternFill>
              </fill>
              <border>
                <left style="thin">
                  <color auto="1"/>
                </left>
                <right/>
                <top/>
                <bottom/>
                <vertical/>
                <horizontal/>
              </border>
            </x14:dxf>
          </x14:cfRule>
          <xm:sqref>G27</xm:sqref>
        </x14:conditionalFormatting>
        <x14:conditionalFormatting xmlns:xm="http://schemas.microsoft.com/office/excel/2006/main">
          <x14:cfRule type="expression" priority="7" id="{4EF76B04-FFE1-4582-B749-370F859FD5F0}">
            <xm:f>Input!$C$19="No"</xm:f>
            <x14:dxf>
              <font>
                <color theme="0"/>
              </font>
            </x14:dxf>
          </x14:cfRule>
          <xm:sqref>G32</xm:sqref>
        </x14:conditionalFormatting>
        <x14:conditionalFormatting xmlns:xm="http://schemas.microsoft.com/office/excel/2006/main">
          <x14:cfRule type="expression" priority="4" id="{8657D7A4-5B7D-4683-8935-5FD64BD09B82}">
            <xm:f>Input!$C$19="No"</xm:f>
            <x14:dxf>
              <font>
                <color theme="0"/>
              </font>
              <fill>
                <patternFill>
                  <bgColor theme="0"/>
                </patternFill>
              </fill>
              <border>
                <left/>
                <right/>
                <top/>
                <bottom/>
                <vertical/>
                <horizontal/>
              </border>
            </x14:dxf>
          </x14:cfRule>
          <xm:sqref>G29:J29</xm:sqref>
        </x14:conditionalFormatting>
        <x14:conditionalFormatting xmlns:xm="http://schemas.microsoft.com/office/excel/2006/main">
          <x14:cfRule type="expression" priority="54" id="{DB631823-708F-445F-8E75-C725E1CB2553}">
            <xm:f>Input!$C$19="No"</xm:f>
            <x14:dxf>
              <font>
                <color theme="0"/>
              </font>
              <fill>
                <patternFill>
                  <bgColor theme="0"/>
                </patternFill>
              </fill>
              <border>
                <left/>
                <right/>
                <top/>
                <bottom style="thin">
                  <color auto="1"/>
                </bottom>
                <vertical/>
                <horizontal/>
              </border>
            </x14:dxf>
          </x14:cfRule>
          <xm:sqref>H2</xm:sqref>
        </x14:conditionalFormatting>
        <x14:conditionalFormatting xmlns:xm="http://schemas.microsoft.com/office/excel/2006/main">
          <x14:cfRule type="expression" priority="1" id="{9DAD49E0-D447-48BA-93C4-624C3225EF55}">
            <xm:f>Input!$C$19="No"</xm:f>
            <x14:dxf>
              <font>
                <color theme="0"/>
              </font>
            </x14:dxf>
          </x14:cfRule>
          <xm:sqref>I10:I11</xm:sqref>
        </x14:conditionalFormatting>
        <x14:conditionalFormatting xmlns:xm="http://schemas.microsoft.com/office/excel/2006/main">
          <x14:cfRule type="expression" priority="3" id="{A9AA9709-126F-494F-B024-698D496FC80B}">
            <xm:f>Input!$C$19="No"</xm:f>
            <x14:dxf>
              <font>
                <color theme="0"/>
              </font>
              <fill>
                <patternFill>
                  <bgColor theme="0"/>
                </patternFill>
              </fill>
            </x14:dxf>
          </x14:cfRule>
          <xm:sqref>I31</xm:sqref>
        </x14:conditionalFormatting>
        <x14:conditionalFormatting xmlns:xm="http://schemas.microsoft.com/office/excel/2006/main">
          <x14:cfRule type="expression" priority="9" id="{A33B5606-87D4-46CB-877A-21F30CD8BA09}">
            <xm:f>Input!$C$19="Yes"</xm:f>
            <x14:dxf>
              <font>
                <color theme="0"/>
              </font>
            </x14:dxf>
          </x14:cfRule>
          <xm:sqref>K13:L13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4:L93"/>
  <sheetViews>
    <sheetView showGridLines="0" workbookViewId="0">
      <selection activeCell="I8" sqref="I8"/>
    </sheetView>
  </sheetViews>
  <sheetFormatPr defaultRowHeight="12.5" x14ac:dyDescent="0.25"/>
  <sheetData>
    <row r="4" spans="1:11" s="96" customFormat="1" ht="18" x14ac:dyDescent="0.4">
      <c r="C4" s="97" t="s">
        <v>88</v>
      </c>
      <c r="D4" s="98"/>
      <c r="E4" s="98"/>
      <c r="F4" s="98"/>
      <c r="G4" s="98"/>
      <c r="H4" s="98"/>
      <c r="I4" s="98"/>
      <c r="J4" s="99"/>
      <c r="K4" s="99"/>
    </row>
    <row r="5" spans="1:11" s="86" customFormat="1" ht="17.5" x14ac:dyDescent="0.35">
      <c r="A5" s="85" t="s">
        <v>96</v>
      </c>
      <c r="C5" s="87"/>
      <c r="E5" s="88"/>
      <c r="F5" s="89"/>
      <c r="H5" s="89"/>
      <c r="I5" s="89"/>
    </row>
    <row r="6" spans="1:11" s="91" customFormat="1" ht="17.5" x14ac:dyDescent="0.35">
      <c r="A6" s="85" t="s">
        <v>89</v>
      </c>
      <c r="B6" s="90"/>
      <c r="C6" s="90"/>
      <c r="D6" s="90"/>
      <c r="E6" s="90"/>
      <c r="F6" s="90"/>
      <c r="G6" s="90"/>
    </row>
    <row r="7" spans="1:11" s="92" customFormat="1" ht="17.5" x14ac:dyDescent="0.35">
      <c r="A7" s="85" t="s">
        <v>90</v>
      </c>
    </row>
    <row r="8" spans="1:11" s="94" customFormat="1" ht="17.5" x14ac:dyDescent="0.35">
      <c r="A8" s="93" t="s">
        <v>92</v>
      </c>
    </row>
    <row r="9" spans="1:11" s="94" customFormat="1" ht="17.5" x14ac:dyDescent="0.35">
      <c r="A9" s="93" t="s">
        <v>93</v>
      </c>
    </row>
    <row r="10" spans="1:11" s="94" customFormat="1" ht="17.5" x14ac:dyDescent="0.35">
      <c r="A10" s="93" t="s">
        <v>94</v>
      </c>
    </row>
    <row r="11" spans="1:11" s="94" customFormat="1" ht="17.5" x14ac:dyDescent="0.35">
      <c r="A11" s="93" t="s">
        <v>91</v>
      </c>
      <c r="C11" s="95"/>
    </row>
    <row r="12" spans="1:11" s="92" customFormat="1" ht="17.5" x14ac:dyDescent="0.35">
      <c r="A12" s="93" t="s">
        <v>95</v>
      </c>
    </row>
    <row r="13" spans="1:11" x14ac:dyDescent="0.25">
      <c r="A13" s="84"/>
    </row>
    <row r="14" spans="1:11" ht="14.5" x14ac:dyDescent="0.25">
      <c r="A14" s="84"/>
      <c r="C14" s="79"/>
    </row>
    <row r="18" spans="3:9" s="96" customFormat="1" ht="18" x14ac:dyDescent="0.4">
      <c r="C18" s="100" t="s">
        <v>82</v>
      </c>
      <c r="D18" s="101"/>
      <c r="E18" s="101"/>
      <c r="F18" s="101"/>
      <c r="G18" s="101"/>
      <c r="H18" s="101"/>
      <c r="I18" s="101"/>
    </row>
    <row r="19" spans="3:9" ht="15.5" x14ac:dyDescent="0.35">
      <c r="C19" s="76" t="s">
        <v>83</v>
      </c>
      <c r="D19" s="77"/>
      <c r="E19" s="77"/>
      <c r="F19" s="77"/>
      <c r="G19" s="77"/>
    </row>
    <row r="28" spans="3:9" ht="14.5" x14ac:dyDescent="0.25">
      <c r="C28" s="80"/>
      <c r="D28" s="81"/>
    </row>
    <row r="29" spans="3:9" ht="14.5" x14ac:dyDescent="0.25">
      <c r="C29" s="80"/>
    </row>
    <row r="30" spans="3:9" ht="14.5" x14ac:dyDescent="0.25">
      <c r="C30" s="80"/>
    </row>
    <row r="31" spans="3:9" ht="14.5" x14ac:dyDescent="0.25">
      <c r="C31" s="80"/>
    </row>
    <row r="32" spans="3:9" ht="14.5" x14ac:dyDescent="0.25">
      <c r="C32" s="80"/>
    </row>
    <row r="33" spans="3:12" ht="14.5" x14ac:dyDescent="0.25">
      <c r="C33" s="80"/>
    </row>
    <row r="34" spans="3:12" ht="14.5" x14ac:dyDescent="0.25">
      <c r="C34" s="80"/>
    </row>
    <row r="44" spans="3:12" ht="15.5" x14ac:dyDescent="0.35">
      <c r="C44" s="82" t="s">
        <v>84</v>
      </c>
      <c r="D44" s="77"/>
      <c r="E44" s="77"/>
      <c r="F44" s="77"/>
      <c r="G44" s="77"/>
      <c r="H44" s="77"/>
      <c r="I44" s="77"/>
      <c r="J44" s="77"/>
      <c r="K44" s="77"/>
      <c r="L44" s="77"/>
    </row>
    <row r="45" spans="3:12" x14ac:dyDescent="0.25">
      <c r="C45" s="78" t="s">
        <v>85</v>
      </c>
    </row>
    <row r="46" spans="3:12" x14ac:dyDescent="0.25">
      <c r="C46" s="78" t="s">
        <v>86</v>
      </c>
    </row>
    <row r="93" spans="3:8" ht="15.5" x14ac:dyDescent="0.35">
      <c r="C93" s="76" t="s">
        <v>87</v>
      </c>
      <c r="D93" s="83"/>
      <c r="E93" s="83"/>
      <c r="F93" s="83"/>
      <c r="G93" s="77"/>
      <c r="H93" s="77"/>
    </row>
  </sheetData>
  <phoneticPr fontId="10" type="noConversion"/>
  <pageMargins left="0.75" right="0.75" top="1" bottom="1" header="0.5" footer="0.5"/>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1FDD3-C6FD-4DC2-B832-9774EB9B9EFC}">
  <sheetPr>
    <tabColor theme="4" tint="0.79998168889431442"/>
  </sheetPr>
  <dimension ref="A1:AD87"/>
  <sheetViews>
    <sheetView showGridLines="0" zoomScaleNormal="100" workbookViewId="0">
      <selection activeCell="J29" sqref="J29"/>
    </sheetView>
  </sheetViews>
  <sheetFormatPr defaultColWidth="9.1796875" defaultRowHeight="13" x14ac:dyDescent="0.3"/>
  <cols>
    <col min="1" max="1" width="44.81640625" style="202" bestFit="1" customWidth="1"/>
    <col min="2" max="2" width="16.54296875" style="202" customWidth="1"/>
    <col min="3" max="4" width="9.1796875" style="202"/>
    <col min="5" max="5" width="10" style="202" customWidth="1"/>
    <col min="6" max="6" width="10.81640625" style="202" customWidth="1"/>
    <col min="7" max="7" width="10" style="202" customWidth="1"/>
    <col min="8" max="8" width="2.81640625" style="202" customWidth="1"/>
    <col min="9" max="9" width="13" style="202" customWidth="1"/>
    <col min="10" max="10" width="10.54296875" style="202" customWidth="1"/>
    <col min="11" max="12" width="9.1796875" style="202"/>
    <col min="13" max="13" width="16.54296875" style="202" customWidth="1"/>
    <col min="14" max="14" width="7.453125" style="202" customWidth="1"/>
    <col min="15" max="15" width="13.7265625" style="202" customWidth="1"/>
    <col min="16" max="16" width="4.81640625" style="203" customWidth="1"/>
    <col min="17" max="30" width="9.1796875" style="203"/>
    <col min="31" max="16384" width="9.1796875" style="202"/>
  </cols>
  <sheetData>
    <row r="1" spans="1:28" ht="15.5" thickBot="1" x14ac:dyDescent="0.35">
      <c r="A1" s="1"/>
      <c r="B1" s="1"/>
      <c r="C1" s="1"/>
      <c r="D1" s="1"/>
      <c r="E1" s="133"/>
      <c r="F1" s="146" t="s">
        <v>104</v>
      </c>
      <c r="G1" s="133"/>
      <c r="H1" s="133"/>
      <c r="I1" s="1"/>
      <c r="J1" s="1"/>
      <c r="K1" s="1"/>
      <c r="L1" s="1"/>
      <c r="M1" s="1"/>
      <c r="N1" s="1"/>
      <c r="O1" s="1"/>
    </row>
    <row r="2" spans="1:28" ht="17.5" x14ac:dyDescent="0.35">
      <c r="A2" s="291" t="str">
        <f>Input!$C$9&amp;" Taxpayer Impact Calculation Page"</f>
        <v>2025 Taxpayer Impact Calculation Page</v>
      </c>
      <c r="B2" s="291"/>
      <c r="C2" s="1"/>
      <c r="D2" s="1"/>
      <c r="E2" s="145"/>
      <c r="F2" s="163" t="s">
        <v>102</v>
      </c>
      <c r="G2" s="144"/>
      <c r="H2" s="133"/>
      <c r="I2" s="1"/>
      <c r="J2" s="1"/>
      <c r="K2" s="1"/>
      <c r="L2" s="1"/>
      <c r="M2" s="1"/>
      <c r="N2" s="1"/>
      <c r="O2" s="1"/>
    </row>
    <row r="3" spans="1:28" x14ac:dyDescent="0.3">
      <c r="A3" s="1"/>
      <c r="B3" s="1"/>
      <c r="C3" s="1"/>
      <c r="D3" s="1"/>
      <c r="E3" s="130"/>
      <c r="F3" s="161" t="s">
        <v>103</v>
      </c>
      <c r="G3" s="131"/>
      <c r="H3" s="133"/>
      <c r="I3" s="1"/>
      <c r="J3" s="1"/>
      <c r="K3" s="1"/>
      <c r="L3" s="1"/>
      <c r="M3" s="1"/>
      <c r="N3" s="1"/>
      <c r="O3" s="1"/>
    </row>
    <row r="4" spans="1:28" ht="15.5" thickBot="1" x14ac:dyDescent="0.35">
      <c r="A4" s="1"/>
      <c r="B4" s="2" t="s">
        <v>210</v>
      </c>
      <c r="C4" s="1"/>
      <c r="D4" s="1"/>
      <c r="E4" s="153"/>
      <c r="F4" s="162" t="s">
        <v>107</v>
      </c>
      <c r="G4" s="154"/>
      <c r="H4" s="133"/>
      <c r="I4" s="1"/>
      <c r="J4" s="1"/>
      <c r="K4" s="1"/>
      <c r="L4" s="1"/>
      <c r="M4" s="108" t="s">
        <v>198</v>
      </c>
      <c r="N4" s="1"/>
      <c r="O4" s="1"/>
    </row>
    <row r="6" spans="1:28" ht="15" x14ac:dyDescent="0.3">
      <c r="A6" s="2" t="str">
        <f>Input!B34</f>
        <v xml:space="preserve">Estimated Existing EAV % Change for 2025 </v>
      </c>
      <c r="B6" s="199">
        <f>Calculations!H5</f>
        <v>0</v>
      </c>
      <c r="C6" s="1"/>
      <c r="D6" s="1"/>
      <c r="E6" s="1"/>
      <c r="F6" s="1"/>
      <c r="G6" s="1"/>
      <c r="L6" s="6" t="str">
        <f>(Input!$C$9-1)&amp; " Fair Cash / Market Value Home"</f>
        <v>2024 Fair Cash / Market Value Home</v>
      </c>
      <c r="M6" s="201"/>
      <c r="Q6" s="204"/>
      <c r="X6" s="217"/>
      <c r="Y6" s="217"/>
      <c r="Z6" s="217"/>
      <c r="AA6" s="217"/>
      <c r="AB6" s="217"/>
    </row>
    <row r="7" spans="1:28" ht="15" x14ac:dyDescent="0.3">
      <c r="A7" s="2" t="str">
        <f>"Estimated Existing EAV Value for "&amp; Input!C9&amp;" "</f>
        <v xml:space="preserve">Estimated Existing EAV Value for 2025 </v>
      </c>
      <c r="B7" s="196">
        <f>Calculations!H6</f>
        <v>0</v>
      </c>
      <c r="C7" s="1"/>
      <c r="D7" s="1"/>
      <c r="E7" s="1"/>
      <c r="F7" s="1"/>
      <c r="G7" s="1"/>
      <c r="L7" s="6"/>
      <c r="M7" s="6"/>
      <c r="Q7" s="204"/>
      <c r="X7" s="217"/>
      <c r="Y7" s="217"/>
      <c r="Z7" s="217">
        <v>3.0163000000000002</v>
      </c>
      <c r="AA7" s="217"/>
      <c r="AB7" s="217" t="s">
        <v>211</v>
      </c>
    </row>
    <row r="8" spans="1:28" ht="15" x14ac:dyDescent="0.3">
      <c r="A8" s="3"/>
      <c r="B8" s="200"/>
      <c r="C8" s="1"/>
      <c r="D8" s="1"/>
      <c r="E8" s="1"/>
      <c r="F8" s="1"/>
      <c r="G8" s="1"/>
      <c r="L8" s="6" t="str">
        <f>"Estimated "&amp;Input!C9&amp;" Fair Cash Value Home"</f>
        <v>Estimated 2025 Fair Cash Value Home</v>
      </c>
      <c r="M8" s="196">
        <f>M6*(1+B6)</f>
        <v>0</v>
      </c>
      <c r="N8" s="109" t="s">
        <v>201</v>
      </c>
      <c r="O8" s="1"/>
      <c r="Q8" s="204"/>
      <c r="X8" s="217" t="s">
        <v>193</v>
      </c>
      <c r="Y8" s="218">
        <v>0.1</v>
      </c>
      <c r="Z8" s="217">
        <v>3.0354999999999999</v>
      </c>
      <c r="AA8" s="217">
        <v>10000</v>
      </c>
      <c r="AB8" s="217">
        <v>10000</v>
      </c>
    </row>
    <row r="9" spans="1:28" ht="15" x14ac:dyDescent="0.3">
      <c r="A9" s="2" t="str">
        <f>Input!B38</f>
        <v xml:space="preserve">Estimated New Property for 2025 </v>
      </c>
      <c r="B9" s="196">
        <f>Input!C38</f>
        <v>0</v>
      </c>
      <c r="C9" s="1"/>
      <c r="D9" s="1"/>
      <c r="E9" s="1"/>
      <c r="F9" s="1"/>
      <c r="G9" s="1"/>
      <c r="L9" s="6"/>
      <c r="M9" s="6"/>
      <c r="N9" s="109"/>
      <c r="O9" s="1"/>
      <c r="Q9" s="204"/>
      <c r="X9" s="217" t="s">
        <v>188</v>
      </c>
      <c r="Y9" s="218">
        <f>((1/3)*100)%</f>
        <v>0.33333333333333326</v>
      </c>
      <c r="Z9" s="217">
        <v>1</v>
      </c>
      <c r="AA9" s="217">
        <v>8000</v>
      </c>
      <c r="AB9" s="217">
        <v>6000</v>
      </c>
    </row>
    <row r="10" spans="1:28" ht="15" x14ac:dyDescent="0.3">
      <c r="A10" s="2" t="str">
        <f>Input!B40</f>
        <v xml:space="preserve">Estimated Total EAV for 2025 </v>
      </c>
      <c r="B10" s="196">
        <f>IF(Input!$C$19="Yes",$B$7+$B$9,$B$7)</f>
        <v>0</v>
      </c>
      <c r="C10" s="109" t="s">
        <v>108</v>
      </c>
      <c r="D10" s="1"/>
      <c r="E10" s="1"/>
      <c r="F10" s="1"/>
      <c r="G10" s="1"/>
      <c r="L10" s="6" t="s">
        <v>190</v>
      </c>
      <c r="M10" s="196">
        <f>M8*N10</f>
        <v>0</v>
      </c>
      <c r="N10" s="216">
        <f>IF(Input!$C$13="Cook",'Tax Calculator - Calculations'!Y8,'Tax Calculator - Calculations'!Y9)</f>
        <v>0.33333333333333326</v>
      </c>
      <c r="O10" s="1"/>
      <c r="X10" s="217" t="s">
        <v>194</v>
      </c>
      <c r="Y10" s="218"/>
      <c r="Z10" s="217"/>
      <c r="AA10" s="217">
        <v>8000</v>
      </c>
      <c r="AB10" s="217"/>
    </row>
    <row r="11" spans="1:28" ht="15.75" customHeight="1" x14ac:dyDescent="0.3">
      <c r="B11" s="1"/>
      <c r="C11" s="1"/>
      <c r="D11" s="1"/>
      <c r="E11" s="1"/>
      <c r="F11" s="1"/>
      <c r="G11" s="1"/>
      <c r="L11" s="6" t="s">
        <v>191</v>
      </c>
      <c r="M11" s="196">
        <f>M10*N11</f>
        <v>0</v>
      </c>
      <c r="N11" s="208">
        <f>IF(Input!$C$13="Cook",'Tax Calculator - Calculations'!Z8,'Tax Calculator - Calculations'!Z9)</f>
        <v>1</v>
      </c>
      <c r="O11" s="1"/>
      <c r="X11" s="217" t="s">
        <v>195</v>
      </c>
      <c r="Y11" s="218"/>
      <c r="Z11" s="217"/>
      <c r="AA11" s="217">
        <v>8000</v>
      </c>
      <c r="AB11" s="217"/>
    </row>
    <row r="12" spans="1:28" ht="15" x14ac:dyDescent="0.3">
      <c r="A12" s="6" t="str">
        <f>Input!$C$9-1&amp;" Operating Rate"</f>
        <v>2024 Operating Rate</v>
      </c>
      <c r="B12" s="197" t="e">
        <f>(Input!D61/Input!C30)*100</f>
        <v>#DIV/0!</v>
      </c>
      <c r="C12" s="1"/>
      <c r="D12" s="1"/>
      <c r="E12" s="1"/>
      <c r="F12" s="1"/>
      <c r="G12" s="1"/>
      <c r="M12" s="1"/>
      <c r="N12" s="1"/>
      <c r="O12" s="1"/>
      <c r="X12" s="217" t="s">
        <v>196</v>
      </c>
      <c r="Y12" s="218"/>
      <c r="Z12" s="217"/>
      <c r="AA12" s="217">
        <v>8000</v>
      </c>
      <c r="AB12" s="217"/>
    </row>
    <row r="13" spans="1:28" ht="15" x14ac:dyDescent="0.3">
      <c r="A13" s="6" t="str">
        <f>"Estimated "&amp;Input!$C$9&amp;" Operating Rate"</f>
        <v>Estimated 2025 Operating Rate</v>
      </c>
      <c r="B13" s="197" t="e">
        <f>IF(Input!C19="Yes",IF(Calculations!J27/'Tax Calculator - Calculations'!B10*100&gt;Calculations!B9,Calculations!B9,Calculations!J27/'Tax Calculator - Calculations'!B10*100),(IF(Calculations!J14&gt;Calculations!F14,Calculations!F14,Calculations!J14)+IF(Calculations!J15&gt;Calculations!F15,Calculations!F15,Calculations!J15)+IF(Calculations!J16&gt;Calculations!F16,Calculations!F16,Calculations!J16)+IF(Calculations!J17&gt;Calculations!F17,Calculations!F17,Calculations!J17)+IF(Calculations!J20&gt;Calculations!F20,Calculations!F20,Calculations!J20)+IF(Calculations!J22&gt;Calculations!F22,Calculations!F22,Calculations!J22)+IF(Calculations!J23&gt;Calculations!F23,Calculations!F23,Calculations!J23)+IF(Calculations!J24&gt;Calculations!F24,Calculations!F24,Calculations!J24)+Calculations!J18+Calculations!J19+Calculations!J21)/B10*100)</f>
        <v>#DIV/0!</v>
      </c>
      <c r="C13" s="252"/>
      <c r="D13" s="1"/>
      <c r="E13" s="1"/>
      <c r="F13" s="1"/>
      <c r="G13" s="1"/>
      <c r="J13" s="1"/>
      <c r="K13" s="1"/>
      <c r="L13" s="6"/>
      <c r="M13"/>
      <c r="N13" s="307" t="s">
        <v>209</v>
      </c>
      <c r="O13" s="307"/>
      <c r="P13" s="210"/>
      <c r="X13" s="217" t="s">
        <v>197</v>
      </c>
      <c r="Y13" s="218"/>
      <c r="Z13" s="217"/>
      <c r="AA13" s="217">
        <v>8000</v>
      </c>
      <c r="AB13" s="217"/>
    </row>
    <row r="14" spans="1:28" ht="15.75" customHeight="1" x14ac:dyDescent="0.3">
      <c r="A14" s="6" t="str">
        <f>"Estimated "&amp;Input!C9&amp;" Bond &amp; Interest Tax Rate"</f>
        <v>Estimated 2025 Bond &amp; Interest Tax Rate</v>
      </c>
      <c r="B14" s="197" t="e">
        <f>((Calculations!G33*(1+B16)/B10*100)+0.0000001)</f>
        <v>#DIV/0!</v>
      </c>
      <c r="C14" s="109" t="s">
        <v>208</v>
      </c>
      <c r="D14" s="1"/>
      <c r="E14" s="1"/>
      <c r="F14" s="1"/>
      <c r="G14" s="1"/>
      <c r="J14" s="1"/>
      <c r="K14" s="1"/>
      <c r="L14" s="6" t="s">
        <v>239</v>
      </c>
      <c r="M14" s="209">
        <f>IF(Input!$C$13="Cook",'Tax Calculator - Calculations'!AA8,IF(Input!$C$13="DuPage",'Tax Calculator - Calculations'!AA9,IF(Input!C13="Lake",'Tax Calculator - Calculations'!AA10,IF(Input!C13="McHenry",'Tax Calculator - Calculations'!AA11,IF(Input!C13="Kane",'Tax Calculator - Calculations'!AA12,IF(Input!C13="Will",'Tax Calculator - Calculations'!AA13,AA14))))))</f>
        <v>6000</v>
      </c>
      <c r="N14" s="307"/>
      <c r="O14" s="307"/>
      <c r="P14" s="210"/>
      <c r="X14" s="217"/>
      <c r="Y14" s="217"/>
      <c r="Z14" s="217"/>
      <c r="AA14" s="217">
        <v>6000</v>
      </c>
      <c r="AB14" s="217"/>
    </row>
    <row r="15" spans="1:28" ht="15" x14ac:dyDescent="0.3">
      <c r="A15" s="6"/>
      <c r="B15" s="6"/>
      <c r="C15" s="136"/>
      <c r="D15" s="136"/>
      <c r="E15" s="1"/>
      <c r="F15" s="1"/>
      <c r="G15" s="1"/>
      <c r="M15" s="1"/>
      <c r="N15" s="212"/>
      <c r="O15" s="212"/>
    </row>
    <row r="16" spans="1:28" ht="15" x14ac:dyDescent="0.3">
      <c r="A16" s="6" t="s">
        <v>192</v>
      </c>
      <c r="B16" s="198"/>
      <c r="C16" s="1"/>
      <c r="D16" s="136"/>
      <c r="E16" s="1"/>
      <c r="F16" s="1"/>
      <c r="G16" s="1"/>
      <c r="L16" s="6" t="s">
        <v>199</v>
      </c>
      <c r="M16" s="209">
        <f>M11-M14</f>
        <v>-6000</v>
      </c>
      <c r="N16" s="213"/>
      <c r="O16" s="4"/>
    </row>
    <row r="17" spans="1:15" ht="12.75" customHeight="1" x14ac:dyDescent="0.3">
      <c r="C17" s="1"/>
      <c r="D17" s="1"/>
      <c r="E17" s="1"/>
      <c r="F17" s="1"/>
      <c r="G17" s="1"/>
      <c r="M17" s="1"/>
      <c r="N17" s="1"/>
      <c r="O17" s="1"/>
    </row>
    <row r="18" spans="1:15" ht="15" x14ac:dyDescent="0.3">
      <c r="A18" s="6" t="s">
        <v>189</v>
      </c>
      <c r="B18" s="205"/>
      <c r="C18" s="136" t="s">
        <v>204</v>
      </c>
      <c r="D18" s="1"/>
      <c r="E18" s="1"/>
      <c r="F18" s="1"/>
      <c r="G18" s="1"/>
      <c r="L18" s="6" t="str">
        <f>"Estimated Change in Tax Payment for "&amp; Input!C9</f>
        <v>Estimated Change in Tax Payment for 2025</v>
      </c>
      <c r="M18" s="209" t="e">
        <f>(M16*(B25)/100)-(((((M6*N10)*IF(Input!C13="Cook",Z7,Z9))-M14)*(B26)/100))</f>
        <v>#DIV/0!</v>
      </c>
      <c r="N18" s="1"/>
      <c r="O18" s="1"/>
    </row>
    <row r="19" spans="1:15" ht="15" x14ac:dyDescent="0.3">
      <c r="A19" s="6" t="s">
        <v>202</v>
      </c>
      <c r="B19" s="197" t="e">
        <f>((B18*(1+B16))/B10*100)</f>
        <v>#DIV/0!</v>
      </c>
      <c r="C19" s="136" t="s">
        <v>203</v>
      </c>
      <c r="D19" s="1"/>
      <c r="E19" s="1"/>
      <c r="F19" s="1"/>
      <c r="G19" s="1"/>
    </row>
    <row r="20" spans="1:15" ht="15.75" customHeight="1" thickBot="1" x14ac:dyDescent="0.35">
      <c r="A20" s="6"/>
      <c r="B20" s="6"/>
      <c r="C20" s="136"/>
      <c r="D20" s="1"/>
      <c r="E20" s="1"/>
      <c r="F20" s="1"/>
      <c r="G20" s="1"/>
      <c r="I20" s="207" t="str">
        <f>"Note, the calculator is intended to estimate the "&amp;Input!C11&amp;" "&amp;Input!C12&amp;" portion of the tax bill."</f>
        <v>Note, the calculator is intended to estimate the   portion of the tax bill.</v>
      </c>
      <c r="J20" s="207"/>
      <c r="K20" s="207"/>
      <c r="L20" s="207"/>
      <c r="M20" s="207"/>
      <c r="N20" s="207"/>
    </row>
    <row r="21" spans="1:15" ht="15" x14ac:dyDescent="0.3">
      <c r="A21" s="6" t="str">
        <f>"Net "&amp;Input!$C$9&amp;" B&amp;I Tax Rate"</f>
        <v>Net 2025 B&amp;I Tax Rate</v>
      </c>
      <c r="B21" s="197" t="e">
        <f>(IF(B14&gt;B19,B14-B19,"Check Abatement"))</f>
        <v>#DIV/0!</v>
      </c>
      <c r="C21" s="1"/>
      <c r="D21" s="1"/>
      <c r="E21" s="296" t="s">
        <v>207</v>
      </c>
      <c r="F21" s="297"/>
      <c r="G21" s="298"/>
      <c r="I21" s="305" t="s">
        <v>224</v>
      </c>
      <c r="J21" s="305"/>
      <c r="K21" s="305"/>
      <c r="L21" s="305"/>
      <c r="M21" s="305"/>
      <c r="N21" s="305"/>
      <c r="O21" s="211"/>
    </row>
    <row r="22" spans="1:15" ht="18.75" customHeight="1" x14ac:dyDescent="0.3">
      <c r="A22" s="6"/>
      <c r="B22" s="6"/>
      <c r="C22" s="136"/>
      <c r="D22" s="1"/>
      <c r="E22" s="299"/>
      <c r="F22" s="300"/>
      <c r="G22" s="301"/>
      <c r="I22" s="305"/>
      <c r="J22" s="305"/>
      <c r="K22" s="305"/>
      <c r="L22" s="305"/>
      <c r="M22" s="305"/>
      <c r="N22" s="305"/>
      <c r="O22" s="211"/>
    </row>
    <row r="23" spans="1:15" ht="16.5" customHeight="1" thickBot="1" x14ac:dyDescent="0.35">
      <c r="A23" s="2" t="s">
        <v>205</v>
      </c>
      <c r="B23" s="209" t="e">
        <f>(Calculations!G31)/'Tax Calculator - Calculations'!B10*100</f>
        <v>#DIV/0!</v>
      </c>
      <c r="C23" s="136" t="s">
        <v>206</v>
      </c>
      <c r="D23" s="1"/>
      <c r="E23" s="302"/>
      <c r="F23" s="303"/>
      <c r="G23" s="304"/>
      <c r="I23" s="305"/>
      <c r="J23" s="305"/>
      <c r="K23" s="305"/>
      <c r="L23" s="305"/>
      <c r="M23" s="305"/>
      <c r="N23" s="305"/>
      <c r="O23" s="211"/>
    </row>
    <row r="24" spans="1:15" x14ac:dyDescent="0.3">
      <c r="A24" s="1"/>
      <c r="B24" s="185"/>
      <c r="C24" s="1"/>
      <c r="D24" s="1"/>
      <c r="E24" s="1"/>
      <c r="F24" s="1"/>
      <c r="G24" s="1"/>
      <c r="I24" s="306"/>
      <c r="J24" s="306"/>
      <c r="K24" s="306"/>
      <c r="L24" s="306"/>
      <c r="M24" s="306"/>
      <c r="N24" s="306"/>
      <c r="O24" s="211"/>
    </row>
    <row r="25" spans="1:15" ht="15" x14ac:dyDescent="0.3">
      <c r="A25" s="6" t="str">
        <f>"Total "&amp;Input!$C$9&amp;" Tax Rate"</f>
        <v>Total 2025 Tax Rate</v>
      </c>
      <c r="B25" s="197" t="e">
        <f>B21+B13+B23</f>
        <v>#DIV/0!</v>
      </c>
      <c r="C25" s="1"/>
      <c r="D25" s="1"/>
      <c r="E25" s="1"/>
      <c r="F25" s="1"/>
      <c r="G25" s="1"/>
      <c r="I25" s="306"/>
      <c r="J25" s="306"/>
      <c r="K25" s="306"/>
      <c r="L25" s="306"/>
      <c r="M25" s="306"/>
      <c r="N25" s="306"/>
      <c r="O25" s="211"/>
    </row>
    <row r="26" spans="1:15" ht="15" x14ac:dyDescent="0.3">
      <c r="A26" s="6" t="s">
        <v>200</v>
      </c>
      <c r="B26" s="197" t="e">
        <f>Input!D67/Input!C30*100</f>
        <v>#DIV/0!</v>
      </c>
      <c r="C26" s="1"/>
      <c r="D26" s="1"/>
      <c r="E26" s="1"/>
      <c r="F26" s="1"/>
      <c r="G26" s="1"/>
      <c r="I26" s="306"/>
      <c r="J26" s="306"/>
      <c r="K26" s="306"/>
      <c r="L26" s="306"/>
      <c r="M26" s="306"/>
      <c r="N26" s="306"/>
      <c r="O26" s="206"/>
    </row>
    <row r="27" spans="1:15" ht="15" x14ac:dyDescent="0.3">
      <c r="A27" s="6"/>
      <c r="B27" s="6"/>
      <c r="I27" s="306"/>
      <c r="J27" s="306"/>
      <c r="K27" s="306"/>
      <c r="L27" s="306"/>
      <c r="M27" s="306"/>
      <c r="N27" s="306"/>
      <c r="O27" s="206"/>
    </row>
    <row r="28" spans="1:15" s="203" customFormat="1" x14ac:dyDescent="0.3"/>
    <row r="29" spans="1:15" s="203" customFormat="1" x14ac:dyDescent="0.3"/>
    <row r="30" spans="1:15" s="203" customFormat="1" x14ac:dyDescent="0.3"/>
    <row r="31" spans="1:15" s="203" customFormat="1" x14ac:dyDescent="0.3"/>
    <row r="32" spans="1:15" s="203" customFormat="1" x14ac:dyDescent="0.3"/>
    <row r="33" s="203" customFormat="1" x14ac:dyDescent="0.3"/>
    <row r="34" s="203" customFormat="1" x14ac:dyDescent="0.3"/>
    <row r="35" s="203" customFormat="1" x14ac:dyDescent="0.3"/>
    <row r="36" s="203" customFormat="1" x14ac:dyDescent="0.3"/>
    <row r="37" s="203" customFormat="1" x14ac:dyDescent="0.3"/>
    <row r="38" s="203" customFormat="1" x14ac:dyDescent="0.3"/>
    <row r="39" s="203" customFormat="1" x14ac:dyDescent="0.3"/>
    <row r="40" s="203" customFormat="1" x14ac:dyDescent="0.3"/>
    <row r="41" s="203" customFormat="1" x14ac:dyDescent="0.3"/>
    <row r="42" s="203" customFormat="1" x14ac:dyDescent="0.3"/>
    <row r="43" s="203" customFormat="1" x14ac:dyDescent="0.3"/>
    <row r="44" s="203" customFormat="1" x14ac:dyDescent="0.3"/>
    <row r="45" s="203" customFormat="1" x14ac:dyDescent="0.3"/>
    <row r="46" s="203" customFormat="1" x14ac:dyDescent="0.3"/>
    <row r="47" s="203" customFormat="1" x14ac:dyDescent="0.3"/>
    <row r="48" s="203" customFormat="1" x14ac:dyDescent="0.3"/>
    <row r="49" s="203" customFormat="1" x14ac:dyDescent="0.3"/>
    <row r="50" s="203" customFormat="1" x14ac:dyDescent="0.3"/>
    <row r="51" s="203" customFormat="1" x14ac:dyDescent="0.3"/>
    <row r="52" s="203" customFormat="1" x14ac:dyDescent="0.3"/>
    <row r="53" s="203" customFormat="1" x14ac:dyDescent="0.3"/>
    <row r="54" s="203" customFormat="1" x14ac:dyDescent="0.3"/>
    <row r="55" s="203" customFormat="1" x14ac:dyDescent="0.3"/>
    <row r="56" s="203" customFormat="1" x14ac:dyDescent="0.3"/>
    <row r="57" s="203" customFormat="1" x14ac:dyDescent="0.3"/>
    <row r="58" s="203" customFormat="1" x14ac:dyDescent="0.3"/>
    <row r="59" s="203" customFormat="1" x14ac:dyDescent="0.3"/>
    <row r="60" s="203" customFormat="1" x14ac:dyDescent="0.3"/>
    <row r="61" s="203" customFormat="1" x14ac:dyDescent="0.3"/>
    <row r="62" s="203" customFormat="1" x14ac:dyDescent="0.3"/>
    <row r="63" s="203" customFormat="1" x14ac:dyDescent="0.3"/>
    <row r="64" s="203" customFormat="1" x14ac:dyDescent="0.3"/>
    <row r="65" s="203" customFormat="1" x14ac:dyDescent="0.3"/>
    <row r="66" s="203" customFormat="1" x14ac:dyDescent="0.3"/>
    <row r="67" s="203" customFormat="1" x14ac:dyDescent="0.3"/>
    <row r="68" s="203" customFormat="1" x14ac:dyDescent="0.3"/>
    <row r="69" s="203" customFormat="1" x14ac:dyDescent="0.3"/>
    <row r="70" s="203" customFormat="1" x14ac:dyDescent="0.3"/>
    <row r="71" s="203" customFormat="1" x14ac:dyDescent="0.3"/>
    <row r="72" s="203" customFormat="1" x14ac:dyDescent="0.3"/>
    <row r="73" s="203" customFormat="1" x14ac:dyDescent="0.3"/>
    <row r="74" s="203" customFormat="1" x14ac:dyDescent="0.3"/>
    <row r="75" s="203" customFormat="1" x14ac:dyDescent="0.3"/>
    <row r="76" s="203" customFormat="1" x14ac:dyDescent="0.3"/>
    <row r="77" s="203" customFormat="1" x14ac:dyDescent="0.3"/>
    <row r="78" s="203" customFormat="1" x14ac:dyDescent="0.3"/>
    <row r="79" s="203" customFormat="1" x14ac:dyDescent="0.3"/>
    <row r="80" s="203" customFormat="1" x14ac:dyDescent="0.3"/>
    <row r="81" spans="1:15" s="203" customFormat="1" x14ac:dyDescent="0.3"/>
    <row r="82" spans="1:15" s="203" customFormat="1" x14ac:dyDescent="0.3"/>
    <row r="83" spans="1:15" s="203" customFormat="1" x14ac:dyDescent="0.3"/>
    <row r="84" spans="1:15" s="203" customFormat="1" x14ac:dyDescent="0.3"/>
    <row r="85" spans="1:15" s="203" customFormat="1" x14ac:dyDescent="0.3"/>
    <row r="86" spans="1:15" x14ac:dyDescent="0.3">
      <c r="A86" s="203"/>
      <c r="B86" s="203"/>
      <c r="C86" s="203"/>
      <c r="I86" s="203"/>
      <c r="J86" s="203"/>
      <c r="K86" s="203"/>
      <c r="L86" s="203"/>
      <c r="M86" s="203"/>
      <c r="N86" s="203"/>
      <c r="O86" s="203"/>
    </row>
    <row r="87" spans="1:15" x14ac:dyDescent="0.3">
      <c r="I87" s="203"/>
      <c r="J87" s="203"/>
      <c r="K87" s="203"/>
      <c r="L87" s="203"/>
      <c r="M87" s="203"/>
      <c r="N87" s="203"/>
      <c r="O87" s="203"/>
    </row>
  </sheetData>
  <sheetProtection algorithmName="SHA-512" hashValue="1pN+I1KUxcJlSrVSRdrDzQQdN0ac40FywucrSPXRLWqajDSzhTYkwiLcB4cbbq/BXFVb5PTtAWxYxflaHv+AxA==" saltValue="vg9WRt4+l10UNzbPwt1g5Q==" spinCount="100000" sheet="1" objects="1" scenarios="1"/>
  <mergeCells count="5">
    <mergeCell ref="A2:B2"/>
    <mergeCell ref="E21:G23"/>
    <mergeCell ref="I21:N23"/>
    <mergeCell ref="I24:N27"/>
    <mergeCell ref="N13:O14"/>
  </mergeCells>
  <phoneticPr fontId="53" type="noConversion"/>
  <conditionalFormatting sqref="L6:L11 M7 M9 A12:A16 L13:L14 B15 L16 A18:A22 A20:B20 B22 A25:A27 B27">
    <cfRule type="expression" dxfId="44" priority="118" stopIfTrue="1">
      <formula>$B$19="N/A"</formula>
    </cfRule>
  </conditionalFormatting>
  <conditionalFormatting sqref="L18">
    <cfRule type="expression" dxfId="43" priority="7" stopIfTrue="1">
      <formula>$B$19="N/A"</formula>
    </cfRule>
  </conditionalFormatting>
  <pageMargins left="0.7" right="0.7" top="0.75" bottom="0.75" header="0.3" footer="0.3"/>
  <pageSetup orientation="portrait" horizontalDpi="200" verticalDpi="200" r:id="rId1"/>
  <customProperties>
    <customPr name="SSC_SHEET_GUID" r:id="rId2"/>
  </customProperties>
  <ignoredErrors>
    <ignoredError sqref="B23" unlockedFormula="1"/>
  </ignoredErrors>
  <drawing r:id="rId3"/>
  <extLst>
    <ext xmlns:x14="http://schemas.microsoft.com/office/spreadsheetml/2009/9/main" uri="{78C0D931-6437-407d-A8EE-F0AAD7539E65}">
      <x14:conditionalFormattings>
        <x14:conditionalFormatting xmlns:xm="http://schemas.microsoft.com/office/excel/2006/main">
          <x14:cfRule type="expression" priority="3" id="{D65E1F48-42E3-4774-A652-6FC9DE8A35E5}">
            <xm:f>Input!$C$19="No"</xm:f>
            <x14:dxf>
              <font>
                <color theme="0"/>
              </font>
              <fill>
                <patternFill patternType="none">
                  <bgColor auto="1"/>
                </patternFill>
              </fill>
              <border>
                <left/>
                <right/>
                <top/>
                <bottom/>
                <vertical/>
                <horizontal/>
              </border>
            </x14:dxf>
          </x14:cfRule>
          <xm:sqref>A9</xm:sqref>
        </x14:conditionalFormatting>
        <x14:conditionalFormatting xmlns:xm="http://schemas.microsoft.com/office/excel/2006/main">
          <x14:cfRule type="expression" priority="5" id="{2F49106E-1538-4E0B-83EC-0845835869D1}">
            <xm:f>Input!$C$19="No"</xm:f>
            <x14:dxf>
              <font>
                <color theme="0"/>
              </font>
              <fill>
                <patternFill>
                  <bgColor theme="0"/>
                </patternFill>
              </fill>
              <border>
                <left/>
                <right/>
                <top/>
                <bottom/>
                <vertical/>
                <horizontal/>
              </border>
            </x14:dxf>
          </x14:cfRule>
          <xm:sqref>A23:C23</xm:sqref>
        </x14:conditionalFormatting>
        <x14:conditionalFormatting xmlns:xm="http://schemas.microsoft.com/office/excel/2006/main">
          <x14:cfRule type="expression" priority="2" id="{17723759-38AB-454E-9B56-C8481CF54D98}">
            <xm:f>Input!$C$19="No"</xm:f>
            <x14:dxf>
              <font>
                <color theme="0"/>
              </font>
              <fill>
                <patternFill patternType="none">
                  <bgColor auto="1"/>
                </patternFill>
              </fill>
              <border>
                <left/>
                <right/>
                <top/>
                <bottom style="thin">
                  <color auto="1"/>
                </bottom>
                <vertical/>
                <horizontal/>
              </border>
            </x14:dxf>
          </x14:cfRule>
          <xm:sqref>B9</xm:sqref>
        </x14:conditionalFormatting>
        <x14:conditionalFormatting xmlns:xm="http://schemas.microsoft.com/office/excel/2006/main">
          <x14:cfRule type="cellIs" priority="6" operator="between" id="{5934EA6F-5960-48D3-880C-811227F039EE}">
            <xm:f>0</xm:f>
            <xm:f>Calculations!$G$33</xm:f>
            <x14:dxf>
              <fill>
                <patternFill>
                  <bgColor rgb="FFCCFFCC"/>
                </patternFill>
              </fill>
            </x14:dxf>
          </x14:cfRule>
          <xm:sqref>B18</xm:sqref>
        </x14:conditionalFormatting>
        <x14:conditionalFormatting xmlns:xm="http://schemas.microsoft.com/office/excel/2006/main">
          <x14:cfRule type="expression" priority="4" id="{A9C757B5-0EF1-4540-94DB-0128DAD3BADF}">
            <xm:f>Input!$C$19="No"</xm:f>
            <x14:dxf>
              <font>
                <color theme="0"/>
              </font>
            </x14:dxf>
          </x14:cfRule>
          <xm:sqref>B24</xm:sqref>
        </x14:conditionalFormatting>
        <x14:conditionalFormatting xmlns:xm="http://schemas.microsoft.com/office/excel/2006/main">
          <x14:cfRule type="expression" priority="1" id="{E4CA7D1A-EC22-466D-B1C7-251B390E9D68}">
            <xm:f>Input!$C$19="No"</xm:f>
            <x14:dxf>
              <font>
                <color theme="0"/>
              </font>
            </x14:dxf>
          </x14:cfRule>
          <xm:sqref>C10</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tabColor theme="5" tint="0.39997558519241921"/>
    <pageSetUpPr fitToPage="1"/>
  </sheetPr>
  <dimension ref="A1:XFC40"/>
  <sheetViews>
    <sheetView showGridLines="0" zoomScaleNormal="100" workbookViewId="0">
      <selection activeCell="E16" sqref="E16"/>
    </sheetView>
  </sheetViews>
  <sheetFormatPr defaultColWidth="0" defaultRowHeight="0" customHeight="1" zeroHeight="1" x14ac:dyDescent="0.3"/>
  <cols>
    <col min="1" max="1" width="30" style="1" customWidth="1"/>
    <col min="2" max="2" width="17.1796875" style="1" customWidth="1"/>
    <col min="3" max="3" width="11.7265625" style="1" customWidth="1"/>
    <col min="4" max="4" width="2.453125" style="1" customWidth="1"/>
    <col min="5" max="5" width="15.26953125" style="1" customWidth="1"/>
    <col min="6" max="6" width="13.7265625" style="1" customWidth="1"/>
    <col min="7" max="7" width="14.54296875" style="1" customWidth="1"/>
    <col min="8" max="8" width="17.7265625" style="1" customWidth="1"/>
    <col min="9" max="9" width="17.54296875" style="1" customWidth="1"/>
    <col min="10" max="10" width="13.7265625" style="1" customWidth="1"/>
    <col min="11" max="11" width="2.7265625" style="1" customWidth="1"/>
    <col min="12" max="12" width="15.26953125" style="1" customWidth="1"/>
    <col min="13" max="13" width="17.7265625" style="1" customWidth="1"/>
    <col min="14" max="14" width="16" style="1" customWidth="1"/>
    <col min="15" max="15" width="0.7265625" style="1" customWidth="1"/>
    <col min="16" max="16383" width="0" style="1" hidden="1"/>
    <col min="16384" max="16384" width="16.7265625" style="1" hidden="1" customWidth="1"/>
  </cols>
  <sheetData>
    <row r="1" spans="1:14" ht="18.75" customHeight="1" thickBot="1" x14ac:dyDescent="0.35">
      <c r="I1" s="181" t="s">
        <v>105</v>
      </c>
      <c r="L1" s="133"/>
      <c r="M1" s="146" t="s">
        <v>104</v>
      </c>
      <c r="N1" s="133"/>
    </row>
    <row r="2" spans="1:14" ht="17.5" x14ac:dyDescent="0.35">
      <c r="A2" s="308" t="str">
        <f>Input!$C$9&amp;" TAX EXTENSION WORKSHEET"</f>
        <v>2025 TAX EXTENSION WORKSHEET</v>
      </c>
      <c r="B2" s="308"/>
      <c r="C2" s="308"/>
      <c r="F2" s="135"/>
      <c r="G2" s="135"/>
      <c r="H2" s="135" t="str">
        <f>"Estimated % Change to Existing EAV for "&amp;Input!$C$9&amp;" "</f>
        <v xml:space="preserve">Estimated % Change to Existing EAV for 2025 </v>
      </c>
      <c r="I2" s="147">
        <f>Calculations!H5</f>
        <v>0</v>
      </c>
      <c r="L2" s="145"/>
      <c r="M2" s="163" t="s">
        <v>102</v>
      </c>
      <c r="N2" s="144"/>
    </row>
    <row r="3" spans="1:14" ht="15" x14ac:dyDescent="0.3">
      <c r="F3" s="135"/>
      <c r="G3" s="135"/>
      <c r="H3" s="135" t="str">
        <f>"Estimated New Property for "&amp;Input!$C$9&amp;" "</f>
        <v xml:space="preserve">Estimated New Property for 2025 </v>
      </c>
      <c r="I3" s="113">
        <f>IF(Input!$C$19="Yes",Input!$C$38,0)</f>
        <v>0</v>
      </c>
      <c r="L3" s="130"/>
      <c r="M3" s="161" t="s">
        <v>103</v>
      </c>
      <c r="N3" s="131"/>
    </row>
    <row r="4" spans="1:14" ht="15.5" thickBot="1" x14ac:dyDescent="0.35">
      <c r="F4" s="134"/>
      <c r="G4" s="134"/>
      <c r="H4" s="135" t="str">
        <f>"Estimated Total EAV for "&amp;Input!$C$9&amp;" "</f>
        <v xml:space="preserve">Estimated Total EAV for 2025 </v>
      </c>
      <c r="I4" s="152">
        <f>Input!$C$40</f>
        <v>0</v>
      </c>
      <c r="J4" s="109"/>
      <c r="L4" s="153"/>
      <c r="M4" s="162" t="s">
        <v>107</v>
      </c>
      <c r="N4" s="154"/>
    </row>
    <row r="5" spans="1:14" ht="15" x14ac:dyDescent="0.3">
      <c r="F5" s="135"/>
      <c r="G5" s="135"/>
      <c r="H5" s="135" t="str">
        <f>"Estimated Total EAV Change for "&amp;Input!$C$9&amp;" "</f>
        <v xml:space="preserve">Estimated Total EAV Change for 2025 </v>
      </c>
      <c r="I5" s="149" t="e">
        <f>Input!$C$41</f>
        <v>#DIV/0!</v>
      </c>
      <c r="J5" s="109"/>
    </row>
    <row r="6" spans="1:14" ht="12" customHeight="1" thickBot="1" x14ac:dyDescent="0.35">
      <c r="F6" s="135"/>
      <c r="G6" s="135"/>
      <c r="H6" s="135"/>
      <c r="I6" s="179"/>
      <c r="J6" s="109"/>
    </row>
    <row r="7" spans="1:14" ht="18" customHeight="1" x14ac:dyDescent="0.3">
      <c r="A7" s="295"/>
      <c r="B7" s="104"/>
      <c r="C7" s="104"/>
      <c r="D7" s="104"/>
      <c r="E7" s="104"/>
      <c r="F7" s="167"/>
      <c r="G7" s="168"/>
      <c r="H7" s="168"/>
      <c r="I7" s="180" t="s">
        <v>109</v>
      </c>
      <c r="J7" s="169"/>
      <c r="K7" s="169"/>
      <c r="L7" s="169"/>
      <c r="M7" s="169"/>
      <c r="N7" s="170"/>
    </row>
    <row r="8" spans="1:14" ht="15" x14ac:dyDescent="0.3">
      <c r="A8" s="295"/>
      <c r="B8" s="313" t="s">
        <v>243</v>
      </c>
      <c r="C8" s="313" t="s">
        <v>180</v>
      </c>
      <c r="D8" s="313"/>
      <c r="E8" s="105"/>
      <c r="F8" s="171"/>
      <c r="G8" s="135"/>
      <c r="H8" s="135" t="str">
        <f>"Actual % Change to Existing EAV for "&amp;Input!$C$9&amp;" "</f>
        <v xml:space="preserve">Actual % Change to Existing EAV for 2025 </v>
      </c>
      <c r="I8" s="148">
        <f>Calculations!H5</f>
        <v>0</v>
      </c>
      <c r="J8" s="109" t="s">
        <v>147</v>
      </c>
      <c r="N8" s="172"/>
    </row>
    <row r="9" spans="1:14" ht="15" x14ac:dyDescent="0.3">
      <c r="A9" s="13"/>
      <c r="B9" s="314"/>
      <c r="C9" s="314"/>
      <c r="D9" s="314"/>
      <c r="E9" s="105"/>
      <c r="F9" s="171"/>
      <c r="G9" s="135"/>
      <c r="H9" s="135" t="str">
        <f>"Actual New Property for "&amp;Input!$C$9&amp;" "</f>
        <v xml:space="preserve">Actual New Property for 2025 </v>
      </c>
      <c r="I9" s="114">
        <f>Calculations!H8</f>
        <v>0</v>
      </c>
      <c r="J9" s="109" t="s">
        <v>148</v>
      </c>
      <c r="N9" s="172"/>
    </row>
    <row r="10" spans="1:14" ht="15" x14ac:dyDescent="0.3">
      <c r="A10" s="6" t="s">
        <v>134</v>
      </c>
      <c r="B10" s="155" t="e">
        <f>IF(Input!C19="Yes",Input!$D$61*(1+MIN(0.05,Input!$C$28))/(Input!$C$40-Input!$C$38)*100,"N/A")</f>
        <v>#DIV/0!</v>
      </c>
      <c r="C10" s="309" t="e">
        <f>IF(Input!C19="Yes",Input!$D$61*(1+MIN(0.05,Input!$C$28))/(I10-I9)*100,"N/A")</f>
        <v>#DIV/0!</v>
      </c>
      <c r="D10" s="310"/>
      <c r="F10" s="171"/>
      <c r="G10" s="135"/>
      <c r="H10" s="135" t="str">
        <f>"Actual Total EAV for "&amp;Input!$C$9&amp;" "</f>
        <v xml:space="preserve">Actual Total EAV for 2025 </v>
      </c>
      <c r="I10" s="152">
        <f>Input!C30*(1+Extension!I8)+IF(Input!$C$19="Yes",Extension!I9,0)</f>
        <v>0</v>
      </c>
      <c r="J10" s="109"/>
      <c r="N10" s="172"/>
    </row>
    <row r="11" spans="1:14" ht="15" x14ac:dyDescent="0.3">
      <c r="A11" s="6" t="s">
        <v>149</v>
      </c>
      <c r="B11" s="118" t="e">
        <f>IF(Input!C19="Yes",($B$10*Input!$C$40)/100,"N/A")</f>
        <v>#DIV/0!</v>
      </c>
      <c r="C11" s="311" t="e">
        <f>IF(Input!C19="Yes",($C$10*$I$10)/100,"N/A")</f>
        <v>#DIV/0!</v>
      </c>
      <c r="D11" s="312"/>
      <c r="E11" s="103"/>
      <c r="F11" s="171"/>
      <c r="G11" s="135"/>
      <c r="H11" s="135" t="str">
        <f>"Actual Total EAV Change for "&amp;Input!$C$9&amp;" "</f>
        <v xml:space="preserve">Actual Total EAV Change for 2025 </v>
      </c>
      <c r="I11" s="150" t="e">
        <f>I10/Input!$C$30-1</f>
        <v>#DIV/0!</v>
      </c>
      <c r="J11" s="109"/>
      <c r="N11" s="172"/>
    </row>
    <row r="12" spans="1:14" ht="15.75" customHeight="1" x14ac:dyDescent="0.3">
      <c r="F12" s="173"/>
      <c r="J12" s="174" t="s">
        <v>151</v>
      </c>
      <c r="N12" s="172"/>
    </row>
    <row r="13" spans="1:14" ht="15" x14ac:dyDescent="0.3">
      <c r="F13" s="173"/>
      <c r="H13" s="6" t="s">
        <v>150</v>
      </c>
      <c r="I13" s="116" t="e">
        <f>IF(C10&gt;G31,"N/A",$C$10/$G$31)</f>
        <v>#DIV/0!</v>
      </c>
      <c r="J13" s="189" t="str">
        <f>IF(Input!C19="No"," YES - All Available Property Tax Dollars Have Been Captured"," YES - All Available Tax Capped Dollars Have Been Captured")</f>
        <v xml:space="preserve"> YES - All Available Tax Capped Dollars Have Been Captured</v>
      </c>
      <c r="K13" s="190"/>
      <c r="L13" s="190"/>
      <c r="M13" s="190"/>
      <c r="N13" s="191"/>
    </row>
    <row r="14" spans="1:14" ht="15" x14ac:dyDescent="0.3">
      <c r="F14" s="173"/>
      <c r="H14" s="6" t="str">
        <f>IF(Input!C19="Yes","Amount Below Allowable PTELL ","Amount Below Available Extension ")</f>
        <v xml:space="preserve">Amount Below Allowable PTELL </v>
      </c>
      <c r="I14" s="263" t="e">
        <f>IF(Input!C19="No",IF(Extension!I31&lt;Extension!H31,Extension!I31-Extension!H31,""),IF(I13="N/A",I31-C11,""))</f>
        <v>#DIV/0!</v>
      </c>
      <c r="J14" s="186" t="e">
        <f>IF(I14&lt;0," NO - Levy Increase Needed to Capture All Available Property Taxes","")</f>
        <v>#DIV/0!</v>
      </c>
      <c r="N14" s="172"/>
    </row>
    <row r="15" spans="1:14" ht="12" customHeight="1" thickBot="1" x14ac:dyDescent="0.35">
      <c r="A15" s="6"/>
      <c r="B15" s="6"/>
      <c r="F15" s="175"/>
      <c r="G15" s="176"/>
      <c r="H15" s="176"/>
      <c r="I15" s="176"/>
      <c r="J15" s="177"/>
      <c r="K15" s="176"/>
      <c r="L15" s="176"/>
      <c r="M15" s="176"/>
      <c r="N15" s="178"/>
    </row>
    <row r="16" spans="1:14" ht="18" customHeight="1" x14ac:dyDescent="0.3">
      <c r="G16" s="290" t="str">
        <f>IF(Input!C19="No","Maximum Extension Factor",IF(Input!C21="no","Maximum Calculated Tax Rate","Maximum Tax Rate using Prior Year EAV"))</f>
        <v>Maximum Calculated Tax Rate</v>
      </c>
      <c r="H16" s="290" t="str">
        <f>IF(Input!C19="No","Scenario Calculated Maximum Extension ","Maximum Allowable Extension")</f>
        <v>Maximum Allowable Extension</v>
      </c>
      <c r="I16" s="290" t="str">
        <f>IF(Input!$C$19="Yes","Maximum Allowable Extension x Reduction Factor","Scenario Calculated Extension")</f>
        <v>Maximum Allowable Extension x Reduction Factor</v>
      </c>
      <c r="J16" s="290" t="s">
        <v>153</v>
      </c>
      <c r="N16" s="290" t="s">
        <v>156</v>
      </c>
    </row>
    <row r="17" spans="1:14" ht="37.9" customHeight="1" x14ac:dyDescent="0.3">
      <c r="B17" s="9" t="s">
        <v>174</v>
      </c>
      <c r="C17" s="9" t="s">
        <v>152</v>
      </c>
      <c r="E17" s="9" t="s">
        <v>159</v>
      </c>
      <c r="F17" s="9" t="s">
        <v>169</v>
      </c>
      <c r="G17" s="294"/>
      <c r="H17" s="294"/>
      <c r="I17" s="294"/>
      <c r="J17" s="294"/>
      <c r="L17" s="9" t="s">
        <v>154</v>
      </c>
      <c r="M17" s="9" t="s">
        <v>155</v>
      </c>
      <c r="N17" s="294"/>
    </row>
    <row r="18" spans="1:14" ht="15" x14ac:dyDescent="0.3">
      <c r="A18" s="2" t="s">
        <v>122</v>
      </c>
      <c r="B18" s="113" t="e">
        <f>Calculations!J14</f>
        <v>#DIV/0!</v>
      </c>
      <c r="C18" s="117">
        <v>0</v>
      </c>
      <c r="E18" s="113" t="e">
        <f>B18*(1+C18)</f>
        <v>#DIV/0!</v>
      </c>
      <c r="F18" s="156" t="e">
        <f>(E18/$I$10)*100</f>
        <v>#DIV/0!</v>
      </c>
      <c r="G18" s="156" t="e">
        <f>IF(Input!$C$19="No",IF(Input!C49&gt;0,Input!C49,"Levy"),IF(Input!$C$21="no",IF(Input!C49&gt;0,MIN(Input!C49,F18),F18),IF(Input!C49&gt;0,MIN(Input!C49,Input!C49*(Input!$C$30+$I$9)/Extension!$I$10,F18),F18)))</f>
        <v>#DIV/0!</v>
      </c>
      <c r="H18" s="119" t="e">
        <f>IF(G18="Levy",E18,((G18*$I$10)/100))</f>
        <v>#DIV/0!</v>
      </c>
      <c r="I18" s="119" t="e">
        <f>IF(Input!$C$19="Yes",IF($I$13="N/A",H18,H18*$I$13),IF(Extension!E18&lt;Extension!H18,Extension!E18,Extension!H18))</f>
        <v>#DIV/0!</v>
      </c>
      <c r="J18" s="156" t="e">
        <f>(I18/$I$10)*100</f>
        <v>#DIV/0!</v>
      </c>
      <c r="L18" s="120">
        <v>0</v>
      </c>
      <c r="M18" s="112" t="e">
        <f>I18+L18</f>
        <v>#DIV/0!</v>
      </c>
      <c r="N18" s="156" t="e">
        <f>IF(M18=0,0,M18/$I$10)*100</f>
        <v>#DIV/0!</v>
      </c>
    </row>
    <row r="19" spans="1:14" ht="15" x14ac:dyDescent="0.3">
      <c r="A19" s="2" t="s">
        <v>123</v>
      </c>
      <c r="B19" s="113" t="e">
        <f>Calculations!J15</f>
        <v>#DIV/0!</v>
      </c>
      <c r="C19" s="117">
        <v>0</v>
      </c>
      <c r="E19" s="113" t="e">
        <f t="shared" ref="E19:E28" si="0">B19*(1+C19)</f>
        <v>#DIV/0!</v>
      </c>
      <c r="F19" s="156" t="e">
        <f t="shared" ref="F19:F28" si="1">(E19/$I$10)*100</f>
        <v>#DIV/0!</v>
      </c>
      <c r="G19" s="156" t="e">
        <f>IF(Input!$C$19="No",IF(Input!C50&gt;0,Input!C50,"Levy"),IF(Input!$C$21="no",IF(Input!C50&gt;0,MIN(Input!C50,F19),F19),IF(Input!C50&gt;0,MIN(Input!C50,Input!C50*(Input!$C$30+$I$9)/Extension!$I$10,F19),F19)))</f>
        <v>#DIV/0!</v>
      </c>
      <c r="H19" s="119" t="e">
        <f t="shared" ref="H19:H28" si="2">IF(G19="Levy",E19,((G19*$I$10)/100))</f>
        <v>#DIV/0!</v>
      </c>
      <c r="I19" s="119" t="e">
        <f>IF(Input!$C$19="Yes",IF($I$13="N/A",H19,H19*$I$13),IF(Extension!E19&lt;Extension!H19,Extension!E19,Extension!H19))</f>
        <v>#DIV/0!</v>
      </c>
      <c r="J19" s="156" t="e">
        <f t="shared" ref="J19:J28" si="3">(I19/$I$10)*100</f>
        <v>#DIV/0!</v>
      </c>
      <c r="L19" s="120">
        <v>0</v>
      </c>
      <c r="M19" s="112" t="e">
        <f t="shared" ref="M19:M28" si="4">I19+L19</f>
        <v>#DIV/0!</v>
      </c>
      <c r="N19" s="156" t="e">
        <f t="shared" ref="N19:N28" si="5">IF(M19=0,0,M19/$I$10)*100</f>
        <v>#DIV/0!</v>
      </c>
    </row>
    <row r="20" spans="1:14" ht="15" x14ac:dyDescent="0.3">
      <c r="A20" s="2" t="s">
        <v>124</v>
      </c>
      <c r="B20" s="113" t="e">
        <f>Calculations!J16</f>
        <v>#DIV/0!</v>
      </c>
      <c r="C20" s="117">
        <v>0</v>
      </c>
      <c r="E20" s="113" t="e">
        <f t="shared" si="0"/>
        <v>#DIV/0!</v>
      </c>
      <c r="F20" s="156" t="e">
        <f t="shared" si="1"/>
        <v>#DIV/0!</v>
      </c>
      <c r="G20" s="156" t="e">
        <f>IF(Input!$C$19="No",IF(Input!C51&gt;0,Input!C51,"Levy"),IF(Input!$C$21="no",IF(Input!C51&gt;0,MIN(Input!C51,F20),F20),IF(Input!C51&gt;0,MIN(Input!C51,Input!C51*(Input!$C$30+$I$9)/Extension!$I$10,F20),F20)))</f>
        <v>#DIV/0!</v>
      </c>
      <c r="H20" s="119" t="e">
        <f t="shared" si="2"/>
        <v>#DIV/0!</v>
      </c>
      <c r="I20" s="119" t="e">
        <f>IF(Input!$C$19="Yes",IF($I$13="N/A",H20,H20*$I$13),IF(Extension!E20&lt;Extension!H20,Extension!E20,Extension!H20))</f>
        <v>#DIV/0!</v>
      </c>
      <c r="J20" s="156" t="e">
        <f t="shared" si="3"/>
        <v>#DIV/0!</v>
      </c>
      <c r="L20" s="120">
        <v>0</v>
      </c>
      <c r="M20" s="112" t="e">
        <f t="shared" si="4"/>
        <v>#DIV/0!</v>
      </c>
      <c r="N20" s="156" t="e">
        <f t="shared" si="5"/>
        <v>#DIV/0!</v>
      </c>
    </row>
    <row r="21" spans="1:14" ht="15" x14ac:dyDescent="0.3">
      <c r="A21" s="2" t="s">
        <v>125</v>
      </c>
      <c r="B21" s="113" t="e">
        <f>Calculations!J17</f>
        <v>#DIV/0!</v>
      </c>
      <c r="C21" s="117">
        <v>0</v>
      </c>
      <c r="E21" s="113" t="e">
        <f t="shared" si="0"/>
        <v>#DIV/0!</v>
      </c>
      <c r="F21" s="156" t="e">
        <f t="shared" si="1"/>
        <v>#DIV/0!</v>
      </c>
      <c r="G21" s="156" t="e">
        <f>IF(Input!$C$19="No",IF(Input!C52&gt;0,Input!C52,"Levy"),IF(Input!$C$21="no",IF(Input!C52&gt;0,MIN(Input!C52,F21),F21),IF(Input!C52&gt;0,MIN(Input!C52,Input!C52*(Input!$C$30+$I$9)/Extension!$I$10,F21),F21)))</f>
        <v>#DIV/0!</v>
      </c>
      <c r="H21" s="119" t="e">
        <f t="shared" si="2"/>
        <v>#DIV/0!</v>
      </c>
      <c r="I21" s="119" t="e">
        <f>IF(Input!$C$19="Yes",IF($I$13="N/A",H21,H21*$I$13),IF(Extension!E21&lt;Extension!H21,Extension!E21,Extension!H21))</f>
        <v>#DIV/0!</v>
      </c>
      <c r="J21" s="156" t="e">
        <f t="shared" si="3"/>
        <v>#DIV/0!</v>
      </c>
      <c r="L21" s="120">
        <v>0</v>
      </c>
      <c r="M21" s="112" t="e">
        <f t="shared" si="4"/>
        <v>#DIV/0!</v>
      </c>
      <c r="N21" s="156" t="e">
        <f t="shared" si="5"/>
        <v>#DIV/0!</v>
      </c>
    </row>
    <row r="22" spans="1:14" ht="15" x14ac:dyDescent="0.3">
      <c r="A22" s="2" t="s">
        <v>126</v>
      </c>
      <c r="B22" s="113" t="e">
        <f>Calculations!J18</f>
        <v>#DIV/0!</v>
      </c>
      <c r="C22" s="117">
        <v>0</v>
      </c>
      <c r="E22" s="113" t="e">
        <f t="shared" si="0"/>
        <v>#DIV/0!</v>
      </c>
      <c r="F22" s="156" t="e">
        <f t="shared" si="1"/>
        <v>#DIV/0!</v>
      </c>
      <c r="G22" s="156" t="e">
        <f>IF(Input!$C$19="No",IF(Input!C53&gt;0,Input!C53,"Levy"),IF(Input!$C$21="no",IF(Input!C53&gt;0,MIN(Input!C53,F22),F22),IF(Input!C53&gt;0,MIN(Input!C53,Input!C53*(Input!$C$30+$I$9)/Extension!$I$10,F22),F22)))</f>
        <v>#DIV/0!</v>
      </c>
      <c r="H22" s="119" t="e">
        <f t="shared" si="2"/>
        <v>#DIV/0!</v>
      </c>
      <c r="I22" s="119" t="e">
        <f>IF(Input!$C$19="Yes",IF($I$13="N/A",H22,H22*$I$13),IF(Extension!E22&lt;Extension!H22,Extension!E22,Extension!H22))</f>
        <v>#DIV/0!</v>
      </c>
      <c r="J22" s="156" t="e">
        <f t="shared" si="3"/>
        <v>#DIV/0!</v>
      </c>
      <c r="L22" s="120">
        <v>0</v>
      </c>
      <c r="M22" s="112" t="e">
        <f t="shared" si="4"/>
        <v>#DIV/0!</v>
      </c>
      <c r="N22" s="156" t="e">
        <f t="shared" si="5"/>
        <v>#DIV/0!</v>
      </c>
    </row>
    <row r="23" spans="1:14" ht="15" x14ac:dyDescent="0.3">
      <c r="A23" s="2" t="s">
        <v>127</v>
      </c>
      <c r="B23" s="113" t="e">
        <f>Calculations!J19</f>
        <v>#DIV/0!</v>
      </c>
      <c r="C23" s="117">
        <v>0</v>
      </c>
      <c r="E23" s="113" t="e">
        <f t="shared" si="0"/>
        <v>#DIV/0!</v>
      </c>
      <c r="F23" s="156" t="e">
        <f t="shared" si="1"/>
        <v>#DIV/0!</v>
      </c>
      <c r="G23" s="156" t="e">
        <f>IF(Input!$C$19="No",IF(Input!C54&gt;0,Input!C54,"Levy"),IF(Input!$C$21="no",IF(Input!C54&gt;0,MIN(Input!C54,F23),F23),IF(Input!C54&gt;0,MIN(Input!C54,Input!C54*(Input!$C$30+$I$9)/Extension!$I$10,F23),F23)))</f>
        <v>#DIV/0!</v>
      </c>
      <c r="H23" s="119" t="e">
        <f t="shared" si="2"/>
        <v>#DIV/0!</v>
      </c>
      <c r="I23" s="119" t="e">
        <f>IF(Input!$C$19="Yes",IF($I$13="N/A",H23,H23*$I$13),IF(Extension!E23&lt;Extension!H23,Extension!E23,Extension!H23))</f>
        <v>#DIV/0!</v>
      </c>
      <c r="J23" s="156" t="e">
        <f t="shared" si="3"/>
        <v>#DIV/0!</v>
      </c>
      <c r="L23" s="120">
        <v>0</v>
      </c>
      <c r="M23" s="112" t="e">
        <f t="shared" si="4"/>
        <v>#DIV/0!</v>
      </c>
      <c r="N23" s="156" t="e">
        <f t="shared" si="5"/>
        <v>#DIV/0!</v>
      </c>
    </row>
    <row r="24" spans="1:14" ht="15" x14ac:dyDescent="0.3">
      <c r="A24" s="2" t="s">
        <v>128</v>
      </c>
      <c r="B24" s="113" t="e">
        <f>Calculations!J20</f>
        <v>#DIV/0!</v>
      </c>
      <c r="C24" s="117">
        <v>0</v>
      </c>
      <c r="E24" s="113" t="e">
        <f t="shared" si="0"/>
        <v>#DIV/0!</v>
      </c>
      <c r="F24" s="156" t="e">
        <f t="shared" si="1"/>
        <v>#DIV/0!</v>
      </c>
      <c r="G24" s="156" t="e">
        <f>IF(Input!$C$19="No",IF(Input!C55&gt;0,Input!C55,"Levy"),IF(Input!$C$21="no",IF(Input!C55&gt;0,MIN(Input!C55,F24),F24),IF(Input!C55&gt;0,MIN(Input!C55,Input!C55*(Input!$C$30+$I$9)/Extension!$I$10,F24),F24)))</f>
        <v>#DIV/0!</v>
      </c>
      <c r="H24" s="119" t="e">
        <f t="shared" si="2"/>
        <v>#DIV/0!</v>
      </c>
      <c r="I24" s="119" t="e">
        <f>IF(Input!$C$19="Yes",IF($I$13="N/A",H24,H24*$I$13),IF(Extension!E24&lt;Extension!H24,Extension!E24,Extension!H24))</f>
        <v>#DIV/0!</v>
      </c>
      <c r="J24" s="156" t="e">
        <f t="shared" si="3"/>
        <v>#DIV/0!</v>
      </c>
      <c r="L24" s="120">
        <v>0</v>
      </c>
      <c r="M24" s="112" t="e">
        <f t="shared" si="4"/>
        <v>#DIV/0!</v>
      </c>
      <c r="N24" s="156" t="e">
        <f t="shared" si="5"/>
        <v>#DIV/0!</v>
      </c>
    </row>
    <row r="25" spans="1:14" ht="15" x14ac:dyDescent="0.3">
      <c r="A25" s="2" t="s">
        <v>129</v>
      </c>
      <c r="B25" s="113" t="e">
        <f>Calculations!J21</f>
        <v>#DIV/0!</v>
      </c>
      <c r="C25" s="117">
        <v>0</v>
      </c>
      <c r="E25" s="113" t="e">
        <f t="shared" si="0"/>
        <v>#DIV/0!</v>
      </c>
      <c r="F25" s="156" t="e">
        <f t="shared" si="1"/>
        <v>#DIV/0!</v>
      </c>
      <c r="G25" s="156" t="e">
        <f>IF(Input!$C$19="No",IF(Input!C56&gt;0,Input!C56,"Levy"),IF(Input!$C$21="no",IF(Input!C56&gt;0,MIN(Input!C56,F25),F25),IF(Input!C56&gt;0,MIN(Input!C56,Input!C56*(Input!$C$30+$I$9)/Extension!$I$10,F25),F25)))</f>
        <v>#DIV/0!</v>
      </c>
      <c r="H25" s="119" t="e">
        <f t="shared" si="2"/>
        <v>#DIV/0!</v>
      </c>
      <c r="I25" s="119" t="e">
        <f>IF(Input!$C$19="Yes",IF($I$13="N/A",H25,H25*$I$13),IF(Extension!E25&lt;Extension!H25,Extension!E25,Extension!H25))</f>
        <v>#DIV/0!</v>
      </c>
      <c r="J25" s="156" t="e">
        <f t="shared" si="3"/>
        <v>#DIV/0!</v>
      </c>
      <c r="L25" s="120">
        <v>0</v>
      </c>
      <c r="M25" s="112" t="e">
        <f t="shared" si="4"/>
        <v>#DIV/0!</v>
      </c>
      <c r="N25" s="156" t="e">
        <f t="shared" si="5"/>
        <v>#DIV/0!</v>
      </c>
    </row>
    <row r="26" spans="1:14" ht="15" x14ac:dyDescent="0.3">
      <c r="A26" s="2" t="s">
        <v>130</v>
      </c>
      <c r="B26" s="113" t="e">
        <f>Calculations!J22</f>
        <v>#DIV/0!</v>
      </c>
      <c r="C26" s="117">
        <v>0</v>
      </c>
      <c r="E26" s="113" t="e">
        <f t="shared" si="0"/>
        <v>#DIV/0!</v>
      </c>
      <c r="F26" s="156" t="e">
        <f t="shared" si="1"/>
        <v>#DIV/0!</v>
      </c>
      <c r="G26" s="156" t="e">
        <f>IF(Input!$C$19="No",IF(Input!C57&gt;0,Input!C57,"Levy"),IF(Input!$C$21="no",IF(Input!C57&gt;0,MIN(Input!C57,F26),F26),IF(Input!C57&gt;0,MIN(Input!C57,Input!C57*(Input!$C$30+$I$9)/Extension!$I$10,F26),F26)))</f>
        <v>#DIV/0!</v>
      </c>
      <c r="H26" s="119" t="e">
        <f t="shared" si="2"/>
        <v>#DIV/0!</v>
      </c>
      <c r="I26" s="119" t="e">
        <f>IF(Input!$C$19="Yes",IF($I$13="N/A",H26,H26*$I$13),IF(Extension!E26&lt;Extension!H26,Extension!E26,Extension!H26))</f>
        <v>#DIV/0!</v>
      </c>
      <c r="J26" s="156" t="e">
        <f t="shared" si="3"/>
        <v>#DIV/0!</v>
      </c>
      <c r="L26" s="120">
        <v>0</v>
      </c>
      <c r="M26" s="112" t="e">
        <f t="shared" si="4"/>
        <v>#DIV/0!</v>
      </c>
      <c r="N26" s="156" t="e">
        <f t="shared" si="5"/>
        <v>#DIV/0!</v>
      </c>
    </row>
    <row r="27" spans="1:14" ht="15" x14ac:dyDescent="0.3">
      <c r="A27" s="2" t="s">
        <v>131</v>
      </c>
      <c r="B27" s="113" t="e">
        <f>Calculations!J23</f>
        <v>#DIV/0!</v>
      </c>
      <c r="C27" s="117">
        <v>0</v>
      </c>
      <c r="E27" s="113" t="e">
        <f t="shared" si="0"/>
        <v>#DIV/0!</v>
      </c>
      <c r="F27" s="156" t="e">
        <f t="shared" si="1"/>
        <v>#DIV/0!</v>
      </c>
      <c r="G27" s="156" t="e">
        <f>IF(Input!$C$19="No",IF(Input!C58&gt;0,Input!C58,"Levy"),IF(Input!$C$21="no",IF(Input!C58&gt;0,MIN(Input!C58,F27),F27),IF(Input!C58&gt;0,MIN(Input!C58,Input!C58*(Input!$C$30+$I$9)/Extension!$I$10,F27),F27)))</f>
        <v>#DIV/0!</v>
      </c>
      <c r="H27" s="119" t="e">
        <f t="shared" si="2"/>
        <v>#DIV/0!</v>
      </c>
      <c r="I27" s="119" t="e">
        <f>IF(Input!$C$19="Yes",IF($I$13="N/A",H27,H27*$I$13),IF(Extension!E27&lt;Extension!H27,Extension!E27,Extension!H27))</f>
        <v>#DIV/0!</v>
      </c>
      <c r="J27" s="156" t="e">
        <f t="shared" si="3"/>
        <v>#DIV/0!</v>
      </c>
      <c r="L27" s="120">
        <v>0</v>
      </c>
      <c r="M27" s="112" t="e">
        <f t="shared" si="4"/>
        <v>#DIV/0!</v>
      </c>
      <c r="N27" s="156" t="e">
        <f t="shared" si="5"/>
        <v>#DIV/0!</v>
      </c>
    </row>
    <row r="28" spans="1:14" ht="15" x14ac:dyDescent="0.3">
      <c r="A28" s="2" t="str">
        <f>Input!B59</f>
        <v xml:space="preserve"> </v>
      </c>
      <c r="B28" s="113" t="e">
        <f>Calculations!J24</f>
        <v>#DIV/0!</v>
      </c>
      <c r="C28" s="117">
        <v>0</v>
      </c>
      <c r="E28" s="113" t="e">
        <f t="shared" si="0"/>
        <v>#DIV/0!</v>
      </c>
      <c r="F28" s="156" t="e">
        <f t="shared" si="1"/>
        <v>#DIV/0!</v>
      </c>
      <c r="G28" s="156" t="e">
        <f>IF(Input!$C$19="No",IF(Input!C59&gt;=0,Input!C59,"Levy"),IF(Input!$C$21="no",IF(Input!C59&gt;0,MIN(Input!C59,F28),F28),IF(Input!C59&gt;0,MIN(Input!C59,Input!C59*(Input!$C$30+$I$9)/Extension!$I$10,F28),F28)))</f>
        <v>#DIV/0!</v>
      </c>
      <c r="H28" s="119" t="e">
        <f t="shared" si="2"/>
        <v>#DIV/0!</v>
      </c>
      <c r="I28" s="119" t="e">
        <f>IF(Input!$C$19="Yes",IF($I$13="N/A",H28,H28*$I$13),IF(Extension!E28&lt;Extension!H28,Extension!E28,Extension!H28))</f>
        <v>#DIV/0!</v>
      </c>
      <c r="J28" s="156" t="e">
        <f t="shared" si="3"/>
        <v>#DIV/0!</v>
      </c>
      <c r="L28" s="120">
        <v>0</v>
      </c>
      <c r="M28" s="112" t="e">
        <f t="shared" si="4"/>
        <v>#DIV/0!</v>
      </c>
      <c r="N28" s="156" t="e">
        <f t="shared" si="5"/>
        <v>#DIV/0!</v>
      </c>
    </row>
    <row r="29" spans="1:14" ht="15.75" customHeight="1" x14ac:dyDescent="0.3">
      <c r="B29" s="4"/>
      <c r="C29" s="4"/>
      <c r="K29" s="107"/>
      <c r="L29" s="192">
        <f>-L31</f>
        <v>0</v>
      </c>
      <c r="M29" s="158" t="str">
        <f>IF(L29&lt;0," Extension Reduction Needed, Net to $0"," Extension Increase Needed, Net to $0")</f>
        <v xml:space="preserve"> Extension Increase Needed, Net to $0</v>
      </c>
    </row>
    <row r="30" spans="1:14" ht="15.75" customHeight="1" x14ac:dyDescent="0.3">
      <c r="B30" s="4"/>
      <c r="C30" s="4"/>
    </row>
    <row r="31" spans="1:14" ht="15" x14ac:dyDescent="0.3">
      <c r="A31" s="2" t="str">
        <f>IF(Input!C19="Yes","Capped Levy/Extension/Rate ","Levy/Extension/Rate ")</f>
        <v xml:space="preserve">Capped Levy/Extension/Rate </v>
      </c>
      <c r="B31" s="121" t="e">
        <f>SUM(B18:B28)</f>
        <v>#DIV/0!</v>
      </c>
      <c r="C31" s="5"/>
      <c r="E31" s="121" t="e">
        <f>SUM(E18:E28)</f>
        <v>#DIV/0!</v>
      </c>
      <c r="F31" s="157" t="e">
        <f>SUM(F18:F28)</f>
        <v>#DIV/0!</v>
      </c>
      <c r="G31" s="157" t="e">
        <f>SUM(G18:G28)</f>
        <v>#DIV/0!</v>
      </c>
      <c r="H31" s="122" t="e">
        <f>SUM(H18:H28)</f>
        <v>#DIV/0!</v>
      </c>
      <c r="I31" s="122" t="e">
        <f>SUM(I18:I29)</f>
        <v>#DIV/0!</v>
      </c>
      <c r="J31" s="157" t="e">
        <f>(I31/$I$10)*100</f>
        <v>#DIV/0!</v>
      </c>
      <c r="L31" s="122">
        <f>SUM(L18:L28)</f>
        <v>0</v>
      </c>
      <c r="M31" s="122" t="e">
        <f>SUM(M18:M28)</f>
        <v>#DIV/0!</v>
      </c>
      <c r="N31" s="157" t="e">
        <f>SUM(N18:N28)</f>
        <v>#DIV/0!</v>
      </c>
    </row>
    <row r="32" spans="1:14" ht="15" x14ac:dyDescent="0.3">
      <c r="A32" s="2"/>
      <c r="H32" s="107"/>
      <c r="I32" s="106"/>
    </row>
    <row r="33" spans="1:14" ht="15" x14ac:dyDescent="0.3">
      <c r="A33" s="2" t="s">
        <v>177</v>
      </c>
      <c r="B33" s="121">
        <f>Calculations!J31</f>
        <v>0</v>
      </c>
      <c r="H33" s="2" t="s">
        <v>181</v>
      </c>
      <c r="I33" s="120"/>
      <c r="J33" s="157" t="e">
        <f>(I33/$I$10)*100</f>
        <v>#DIV/0!</v>
      </c>
      <c r="K33" s="111" t="s">
        <v>106</v>
      </c>
      <c r="N33" s="157" t="e">
        <f>J33</f>
        <v>#DIV/0!</v>
      </c>
    </row>
    <row r="34" spans="1:14" ht="15" x14ac:dyDescent="0.3">
      <c r="A34" s="2"/>
      <c r="K34" s="110"/>
    </row>
    <row r="35" spans="1:14" ht="15" x14ac:dyDescent="0.3">
      <c r="A35" s="2" t="s">
        <v>173</v>
      </c>
      <c r="B35" s="121">
        <f>Calculations!J33</f>
        <v>0</v>
      </c>
      <c r="C35" s="11"/>
      <c r="H35" s="2" t="s">
        <v>175</v>
      </c>
      <c r="I35" s="120"/>
      <c r="J35" s="157" t="e">
        <f>(I35/$I$10)*100</f>
        <v>#DIV/0!</v>
      </c>
      <c r="K35" s="111" t="s">
        <v>214</v>
      </c>
      <c r="N35" s="157" t="e">
        <f>J35</f>
        <v>#DIV/0!</v>
      </c>
    </row>
    <row r="36" spans="1:14" ht="15" x14ac:dyDescent="0.3">
      <c r="A36" s="2"/>
      <c r="B36" s="102"/>
      <c r="C36" s="5"/>
      <c r="E36" s="5"/>
      <c r="F36" s="5"/>
      <c r="G36" s="5"/>
    </row>
    <row r="37" spans="1:14" ht="15" x14ac:dyDescent="0.3">
      <c r="A37" s="2" t="s">
        <v>138</v>
      </c>
      <c r="B37" s="121" t="e">
        <f>B31+B35+B33</f>
        <v>#DIV/0!</v>
      </c>
      <c r="C37" s="11"/>
      <c r="H37" s="2" t="s">
        <v>172</v>
      </c>
      <c r="I37" s="121" t="e">
        <f>I31+I35+I33</f>
        <v>#DIV/0!</v>
      </c>
      <c r="J37" s="157" t="e">
        <f>J31+J33+J35</f>
        <v>#DIV/0!</v>
      </c>
      <c r="M37" s="2"/>
      <c r="N37" s="157" t="e">
        <f>N31+N33+N35</f>
        <v>#DIV/0!</v>
      </c>
    </row>
    <row r="38" spans="1:14" ht="13" x14ac:dyDescent="0.3">
      <c r="C38" s="4"/>
    </row>
    <row r="39" spans="1:14" ht="4.5" customHeight="1" x14ac:dyDescent="0.3">
      <c r="C39" s="4"/>
    </row>
    <row r="40" spans="1:14" ht="13.5" hidden="1" customHeight="1" x14ac:dyDescent="0.3">
      <c r="C40" s="4"/>
    </row>
  </sheetData>
  <sheetProtection algorithmName="SHA-512" hashValue="iCM2G5QlmfwYylzux0EeYNYqBTih3elUZHQd+G+xmRhyTOiyMGl8xEaAauENy8RxCDCGLwJX1EKnXn4bFgk3xA==" saltValue="ocfRCavo2e1h4PVWBqmftw==" spinCount="100000" sheet="1" objects="1" scenarios="1"/>
  <mergeCells count="11">
    <mergeCell ref="A7:A8"/>
    <mergeCell ref="A2:C2"/>
    <mergeCell ref="C10:D10"/>
    <mergeCell ref="C11:D11"/>
    <mergeCell ref="B8:B9"/>
    <mergeCell ref="C8:D9"/>
    <mergeCell ref="N16:N17"/>
    <mergeCell ref="J16:J17"/>
    <mergeCell ref="G16:G17"/>
    <mergeCell ref="I16:I17"/>
    <mergeCell ref="H16:H17"/>
  </mergeCells>
  <conditionalFormatting sqref="A7:C7 A8 E7:E9">
    <cfRule type="expression" dxfId="42" priority="117" stopIfTrue="1">
      <formula>$B$10="N/A"</formula>
    </cfRule>
  </conditionalFormatting>
  <conditionalFormatting sqref="A8:C8">
    <cfRule type="expression" dxfId="41" priority="92" stopIfTrue="1">
      <formula>$B$10="N/A"</formula>
    </cfRule>
  </conditionalFormatting>
  <conditionalFormatting sqref="A10:D11">
    <cfRule type="expression" dxfId="40" priority="88" stopIfTrue="1">
      <formula>$B$10="N/A"</formula>
    </cfRule>
  </conditionalFormatting>
  <conditionalFormatting sqref="B11">
    <cfRule type="expression" dxfId="38" priority="94" stopIfTrue="1">
      <formula>$B$10="N/A"</formula>
    </cfRule>
  </conditionalFormatting>
  <conditionalFormatting sqref="F18:F28">
    <cfRule type="cellIs" dxfId="36" priority="87" operator="greaterThan">
      <formula>$G$18</formula>
    </cfRule>
  </conditionalFormatting>
  <conditionalFormatting sqref="F2:H3">
    <cfRule type="expression" dxfId="35" priority="43" stopIfTrue="1">
      <formula>$C$17="No"</formula>
    </cfRule>
  </conditionalFormatting>
  <conditionalFormatting sqref="H9">
    <cfRule type="expression" dxfId="32" priority="5" stopIfTrue="1">
      <formula>$C$17="No"</formula>
    </cfRule>
  </conditionalFormatting>
  <conditionalFormatting sqref="H14">
    <cfRule type="expression" dxfId="31" priority="9">
      <formula>$I$14&gt;0</formula>
    </cfRule>
  </conditionalFormatting>
  <conditionalFormatting sqref="H32:I32">
    <cfRule type="cellIs" dxfId="30" priority="60" operator="lessThan">
      <formula>0</formula>
    </cfRule>
  </conditionalFormatting>
  <conditionalFormatting sqref="I2:I3">
    <cfRule type="expression" dxfId="29" priority="46" stopIfTrue="1">
      <formula>$C$17="No"</formula>
    </cfRule>
  </conditionalFormatting>
  <conditionalFormatting sqref="I8:I9">
    <cfRule type="expression" dxfId="27" priority="14">
      <formula>$I$14&lt;0</formula>
    </cfRule>
  </conditionalFormatting>
  <conditionalFormatting sqref="I14 A7:D7 A9 H13:I13">
    <cfRule type="expression" dxfId="25" priority="108" stopIfTrue="1">
      <formula>$B$10="N/A"</formula>
    </cfRule>
  </conditionalFormatting>
  <conditionalFormatting sqref="I14">
    <cfRule type="cellIs" dxfId="24" priority="56" operator="lessThan">
      <formula>0</formula>
    </cfRule>
    <cfRule type="cellIs" dxfId="23" priority="55" operator="lessThan">
      <formula>0</formula>
    </cfRule>
  </conditionalFormatting>
  <conditionalFormatting sqref="I18:I28">
    <cfRule type="expression" dxfId="22" priority="13">
      <formula>$I18&lt;$H18</formula>
    </cfRule>
  </conditionalFormatting>
  <conditionalFormatting sqref="J26:J28 J18:J21 J24">
    <cfRule type="expression" dxfId="19" priority="20">
      <formula>$J18&lt;$G18</formula>
    </cfRule>
  </conditionalFormatting>
  <conditionalFormatting sqref="J28">
    <cfRule type="expression" dxfId="18" priority="19">
      <formula>$J$28=0</formula>
    </cfRule>
  </conditionalFormatting>
  <conditionalFormatting sqref="J13:N13">
    <cfRule type="expression" dxfId="17" priority="15">
      <formula>$I$14&lt;0</formula>
    </cfRule>
    <cfRule type="expression" dxfId="16" priority="36">
      <formula>$I$13="N/A"</formula>
    </cfRule>
  </conditionalFormatting>
  <conditionalFormatting sqref="J14:N14">
    <cfRule type="expression" dxfId="15" priority="26">
      <formula>$I$14&lt;0</formula>
    </cfRule>
  </conditionalFormatting>
  <conditionalFormatting sqref="L29">
    <cfRule type="expression" dxfId="14" priority="22">
      <formula>$L$31=0</formula>
    </cfRule>
  </conditionalFormatting>
  <conditionalFormatting sqref="L31">
    <cfRule type="expression" dxfId="13" priority="24">
      <formula>$L$31&gt;0</formula>
    </cfRule>
    <cfRule type="expression" dxfId="12" priority="25">
      <formula>$L$31&lt;0</formula>
    </cfRule>
  </conditionalFormatting>
  <conditionalFormatting sqref="M18:M28">
    <cfRule type="cellIs" dxfId="11" priority="67" operator="greaterThan">
      <formula>$E18</formula>
    </cfRule>
  </conditionalFormatting>
  <conditionalFormatting sqref="M29:N29">
    <cfRule type="expression" dxfId="10" priority="23">
      <formula>$L$31=0</formula>
    </cfRule>
  </conditionalFormatting>
  <pageMargins left="0.4" right="0.4" top="0.73" bottom="0.79" header="0.5" footer="0.49"/>
  <pageSetup scale="62" orientation="landscape" r:id="rId1"/>
  <headerFooter alignWithMargins="0"/>
  <ignoredErrors>
    <ignoredError sqref="M18:M28" unlockedFormula="1"/>
  </ignoredErrors>
  <extLst>
    <ext xmlns:x14="http://schemas.microsoft.com/office/spreadsheetml/2009/9/main" uri="{78C0D931-6437-407d-A8EE-F0AAD7539E65}">
      <x14:conditionalFormattings>
        <x14:conditionalFormatting xmlns:xm="http://schemas.microsoft.com/office/excel/2006/main">
          <x14:cfRule type="expression" priority="12" id="{B8847947-6521-42EF-AFE2-5C0101C5D6A5}">
            <xm:f>Input!$C$19="No"</xm:f>
            <x14:dxf>
              <font>
                <color theme="0"/>
              </font>
              <fill>
                <patternFill>
                  <bgColor theme="0"/>
                </patternFill>
              </fill>
              <border>
                <left/>
                <right/>
                <top/>
                <bottom/>
                <vertical/>
                <horizontal/>
              </border>
            </x14:dxf>
          </x14:cfRule>
          <xm:sqref>A33:N33</xm:sqref>
        </x14:conditionalFormatting>
        <x14:conditionalFormatting xmlns:xm="http://schemas.microsoft.com/office/excel/2006/main">
          <x14:cfRule type="expression" priority="17" id="{F533E96E-9F42-40B7-984F-046851FCFBCD}">
            <xm:f>Input!$C$19="No"</xm:f>
            <x14:dxf>
              <font>
                <color auto="1"/>
              </font>
              <fill>
                <patternFill>
                  <bgColor theme="4" tint="0.79998168889431442"/>
                </patternFill>
              </fill>
            </x14:dxf>
          </x14:cfRule>
          <xm:sqref>F18:F28</xm:sqref>
        </x14:conditionalFormatting>
        <x14:conditionalFormatting xmlns:xm="http://schemas.microsoft.com/office/excel/2006/main">
          <x14:cfRule type="expression" priority="7" id="{BD35F42E-E353-496A-87DE-CBC5B5AE6676}">
            <xm:f>Input!$C$19="No"</xm:f>
            <x14:dxf>
              <font>
                <color theme="0"/>
              </font>
            </x14:dxf>
          </x14:cfRule>
          <xm:sqref>H3</xm:sqref>
        </x14:conditionalFormatting>
        <x14:conditionalFormatting xmlns:xm="http://schemas.microsoft.com/office/excel/2006/main">
          <x14:cfRule type="expression" priority="4" id="{86CE164D-B7E7-4232-BA66-DD9148D0565F}">
            <xm:f>Input!$C$19="No"</xm:f>
            <x14:dxf>
              <font>
                <color theme="0"/>
              </font>
            </x14:dxf>
          </x14:cfRule>
          <xm:sqref>H9</xm:sqref>
        </x14:conditionalFormatting>
        <x14:conditionalFormatting xmlns:xm="http://schemas.microsoft.com/office/excel/2006/main">
          <x14:cfRule type="expression" priority="8" stopIfTrue="1" id="{C6051D01-D21D-4E0A-939B-E07F5CA3D852}">
            <xm:f>Input!$C$19="No"</xm:f>
            <x14:dxf>
              <font>
                <color theme="0"/>
              </font>
              <fill>
                <patternFill patternType="none">
                  <bgColor auto="1"/>
                </patternFill>
              </fill>
              <border>
                <left/>
                <right/>
                <top style="thin">
                  <color auto="1"/>
                </top>
                <bottom style="thin">
                  <color auto="1"/>
                </bottom>
                <vertical/>
                <horizontal/>
              </border>
            </x14:dxf>
          </x14:cfRule>
          <xm:sqref>I3</xm:sqref>
        </x14:conditionalFormatting>
        <x14:conditionalFormatting xmlns:xm="http://schemas.microsoft.com/office/excel/2006/main">
          <x14:cfRule type="expression" priority="6" id="{E5BB5CBD-E8D9-4762-8E9A-AA43E99003DA}">
            <xm:f>Input!$C$19="No"</xm:f>
            <x14:dxf>
              <font>
                <color theme="0"/>
              </font>
              <fill>
                <patternFill patternType="none">
                  <bgColor auto="1"/>
                </patternFill>
              </fill>
              <border>
                <left/>
                <right/>
                <top style="thin">
                  <color auto="1"/>
                </top>
                <bottom style="thin">
                  <color auto="1"/>
                </bottom>
                <vertical/>
                <horizontal/>
              </border>
            </x14:dxf>
          </x14:cfRule>
          <xm:sqref>I9</xm:sqref>
        </x14:conditionalFormatting>
        <x14:conditionalFormatting xmlns:xm="http://schemas.microsoft.com/office/excel/2006/main">
          <x14:cfRule type="expression" priority="11" id="{72A30542-E860-40E6-8D11-3BD4D696343C}">
            <xm:f>Input!$C$19="Yes"</xm:f>
            <x14:dxf>
              <fill>
                <patternFill>
                  <bgColor theme="4" tint="0.79998168889431442"/>
                </patternFill>
              </fill>
            </x14:dxf>
          </x14:cfRule>
          <xm:sqref>I18:J28</xm:sqref>
        </x14:conditionalFormatting>
        <x14:conditionalFormatting xmlns:xm="http://schemas.microsoft.com/office/excel/2006/main">
          <x14:cfRule type="expression" priority="1" id="{A95A0EBE-AA37-4D7A-84A9-6EF80FAD5022}">
            <xm:f>Input!$C$19="No"</xm:f>
            <x14:dxf>
              <font>
                <color theme="0"/>
              </font>
            </x14:dxf>
          </x14:cfRule>
          <xm:sqref>J9</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42621-2E61-43D7-A988-F99FFA9860CC}">
  <sheetPr>
    <tabColor theme="5" tint="0.79998168889431442"/>
  </sheetPr>
  <dimension ref="A1:AD87"/>
  <sheetViews>
    <sheetView showGridLines="0" workbookViewId="0">
      <selection activeCell="M33" sqref="M33"/>
    </sheetView>
  </sheetViews>
  <sheetFormatPr defaultColWidth="9.1796875" defaultRowHeight="13" x14ac:dyDescent="0.3"/>
  <cols>
    <col min="1" max="1" width="44.81640625" style="202" bestFit="1" customWidth="1"/>
    <col min="2" max="2" width="16.54296875" style="202" customWidth="1"/>
    <col min="3" max="4" width="9.1796875" style="202"/>
    <col min="5" max="5" width="10" style="202" customWidth="1"/>
    <col min="6" max="6" width="10.81640625" style="202" customWidth="1"/>
    <col min="7" max="7" width="10" style="202" customWidth="1"/>
    <col min="8" max="8" width="2.81640625" style="202" customWidth="1"/>
    <col min="9" max="9" width="13" style="202" customWidth="1"/>
    <col min="10" max="10" width="10.54296875" style="202" customWidth="1"/>
    <col min="11" max="12" width="9.1796875" style="202"/>
    <col min="13" max="13" width="16.54296875" style="202" customWidth="1"/>
    <col min="14" max="14" width="7.453125" style="202" customWidth="1"/>
    <col min="15" max="15" width="13.7265625" style="202" customWidth="1"/>
    <col min="16" max="16" width="4.81640625" style="203" customWidth="1"/>
    <col min="17" max="30" width="9.1796875" style="203"/>
    <col min="31" max="16384" width="9.1796875" style="202"/>
  </cols>
  <sheetData>
    <row r="1" spans="1:28" ht="15.5" thickBot="1" x14ac:dyDescent="0.35">
      <c r="A1" s="1"/>
      <c r="B1" s="1"/>
      <c r="C1" s="1"/>
      <c r="D1" s="1"/>
      <c r="E1" s="133"/>
      <c r="F1" s="146" t="s">
        <v>104</v>
      </c>
      <c r="G1" s="133"/>
      <c r="H1" s="133"/>
      <c r="I1" s="1"/>
      <c r="J1" s="1"/>
      <c r="K1" s="1"/>
      <c r="L1" s="1"/>
    </row>
    <row r="2" spans="1:28" ht="17.5" x14ac:dyDescent="0.35">
      <c r="A2" s="291" t="str">
        <f>Input!$C$9&amp;" Taxpayer Impact Calculation Page"</f>
        <v>2025 Taxpayer Impact Calculation Page</v>
      </c>
      <c r="B2" s="291"/>
      <c r="C2" s="1"/>
      <c r="D2" s="1"/>
      <c r="E2" s="145"/>
      <c r="F2" s="163" t="s">
        <v>102</v>
      </c>
      <c r="G2" s="144"/>
      <c r="H2" s="133"/>
      <c r="I2" s="1"/>
      <c r="J2" s="1"/>
      <c r="K2" s="1"/>
      <c r="L2" s="1"/>
    </row>
    <row r="3" spans="1:28" x14ac:dyDescent="0.3">
      <c r="A3" s="1"/>
      <c r="B3" s="1"/>
      <c r="C3" s="1"/>
      <c r="D3" s="1"/>
      <c r="E3" s="130"/>
      <c r="F3" s="161" t="s">
        <v>103</v>
      </c>
      <c r="G3" s="131"/>
      <c r="H3" s="133"/>
      <c r="I3" s="1"/>
      <c r="J3" s="1"/>
      <c r="K3" s="1"/>
      <c r="L3" s="1"/>
    </row>
    <row r="4" spans="1:28" ht="15.5" thickBot="1" x14ac:dyDescent="0.35">
      <c r="A4" s="1"/>
      <c r="B4" s="2" t="s">
        <v>212</v>
      </c>
      <c r="C4" s="1"/>
      <c r="D4" s="1"/>
      <c r="E4" s="153"/>
      <c r="F4" s="162" t="s">
        <v>107</v>
      </c>
      <c r="G4" s="154"/>
      <c r="H4" s="133"/>
      <c r="I4" s="1"/>
      <c r="J4" s="1"/>
      <c r="K4" s="1"/>
      <c r="L4" s="1"/>
      <c r="M4" s="108" t="s">
        <v>198</v>
      </c>
    </row>
    <row r="5" spans="1:28" x14ac:dyDescent="0.3">
      <c r="A5" s="1"/>
      <c r="B5" s="1"/>
      <c r="C5" s="1"/>
      <c r="D5" s="1"/>
      <c r="E5" s="1"/>
      <c r="F5" s="1"/>
      <c r="G5" s="1"/>
      <c r="H5" s="1"/>
      <c r="I5" s="1"/>
      <c r="J5" s="1"/>
      <c r="K5" s="1"/>
      <c r="L5" s="1"/>
    </row>
    <row r="6" spans="1:28" ht="15" x14ac:dyDescent="0.3">
      <c r="A6" s="2" t="str">
        <f>Extension!H8</f>
        <v xml:space="preserve">Actual % Change to Existing EAV for 2025 </v>
      </c>
      <c r="B6" s="199">
        <f>Extension!I8</f>
        <v>0</v>
      </c>
      <c r="C6" s="1"/>
      <c r="D6" s="1"/>
      <c r="E6" s="1"/>
      <c r="F6" s="1"/>
      <c r="G6" s="1"/>
      <c r="H6" s="1"/>
      <c r="I6" s="1"/>
      <c r="J6" s="1"/>
      <c r="K6" s="1"/>
      <c r="L6" s="6" t="str">
        <f>(Input!$C$9-1)&amp; " Fair Cash / Market Value Home"</f>
        <v>2024 Fair Cash / Market Value Home</v>
      </c>
      <c r="M6" s="201"/>
      <c r="Q6" s="204"/>
      <c r="X6" s="217"/>
      <c r="Y6" s="217"/>
      <c r="Z6" s="217"/>
      <c r="AA6" s="217"/>
      <c r="AB6" s="217"/>
    </row>
    <row r="7" spans="1:28" ht="15" x14ac:dyDescent="0.3">
      <c r="A7" s="2" t="str">
        <f>"Actual EAV Value for "&amp; Input!C9&amp;" "</f>
        <v xml:space="preserve">Actual EAV Value for 2025 </v>
      </c>
      <c r="B7" s="196">
        <f>Input!C30*(1+Extension!I8)</f>
        <v>0</v>
      </c>
      <c r="C7" s="1"/>
      <c r="D7" s="1"/>
      <c r="E7" s="1"/>
      <c r="F7" s="1"/>
      <c r="G7" s="1"/>
      <c r="H7" s="1"/>
      <c r="I7" s="1"/>
      <c r="J7" s="1"/>
      <c r="K7" s="1"/>
      <c r="L7" s="6"/>
      <c r="M7" s="6"/>
      <c r="N7" s="1"/>
      <c r="O7" s="1"/>
      <c r="Q7" s="204"/>
      <c r="X7" s="217"/>
      <c r="Y7" s="217"/>
      <c r="Z7" s="217">
        <f>'Tax Calculator - Calculations'!Z7</f>
        <v>3.0163000000000002</v>
      </c>
      <c r="AA7" s="217"/>
      <c r="AB7" s="217" t="s">
        <v>211</v>
      </c>
    </row>
    <row r="8" spans="1:28" ht="15" x14ac:dyDescent="0.3">
      <c r="A8" s="3"/>
      <c r="B8" s="200"/>
      <c r="C8" s="1"/>
      <c r="D8" s="1"/>
      <c r="E8" s="1"/>
      <c r="F8" s="1"/>
      <c r="G8" s="1"/>
      <c r="H8" s="1"/>
      <c r="I8" s="1"/>
      <c r="J8" s="1"/>
      <c r="K8" s="1"/>
      <c r="L8" s="6" t="str">
        <f>"Estimated "&amp;Input!C9&amp;" Fair Cash Value Home"</f>
        <v>Estimated 2025 Fair Cash Value Home</v>
      </c>
      <c r="M8" s="196">
        <f>M6*(1+B6)</f>
        <v>0</v>
      </c>
      <c r="N8" s="109" t="s">
        <v>201</v>
      </c>
      <c r="O8" s="1"/>
      <c r="Q8" s="204"/>
      <c r="X8" s="217" t="s">
        <v>193</v>
      </c>
      <c r="Y8" s="218">
        <v>0.1</v>
      </c>
      <c r="Z8" s="217">
        <f>'Tax Calculator - Calculations'!Z8</f>
        <v>3.0354999999999999</v>
      </c>
      <c r="AA8" s="217">
        <v>10000</v>
      </c>
      <c r="AB8" s="217">
        <v>10000</v>
      </c>
    </row>
    <row r="9" spans="1:28" ht="15" x14ac:dyDescent="0.3">
      <c r="A9" s="2" t="str">
        <f>Extension!H9</f>
        <v xml:space="preserve">Actual New Property for 2025 </v>
      </c>
      <c r="B9" s="196">
        <f>Extension!I9</f>
        <v>0</v>
      </c>
      <c r="C9" s="1"/>
      <c r="D9" s="1"/>
      <c r="E9" s="1"/>
      <c r="F9" s="1"/>
      <c r="G9" s="1"/>
      <c r="H9" s="1"/>
      <c r="I9" s="1"/>
      <c r="J9" s="1"/>
      <c r="K9" s="1"/>
      <c r="L9" s="6"/>
      <c r="M9" s="6"/>
      <c r="N9" s="109"/>
      <c r="O9" s="1"/>
      <c r="Q9" s="204"/>
      <c r="X9" s="217" t="s">
        <v>188</v>
      </c>
      <c r="Y9" s="218">
        <f>((1/3)*100)%</f>
        <v>0.33333333333333326</v>
      </c>
      <c r="Z9" s="217">
        <f>'Tax Calculator - Calculations'!Z9</f>
        <v>1</v>
      </c>
      <c r="AA9" s="217">
        <v>8000</v>
      </c>
      <c r="AB9" s="217">
        <v>6000</v>
      </c>
    </row>
    <row r="10" spans="1:28" ht="15" x14ac:dyDescent="0.3">
      <c r="A10" s="2" t="str">
        <f>"Actual Total EAV Value for "&amp; Input!C9&amp;" "</f>
        <v xml:space="preserve">Actual Total EAV Value for 2025 </v>
      </c>
      <c r="B10" s="196">
        <f>IF(Input!$C$19="Yes",$B$7+$B$9,$B$7)</f>
        <v>0</v>
      </c>
      <c r="C10" s="109" t="s">
        <v>108</v>
      </c>
      <c r="D10" s="1"/>
      <c r="E10" s="1"/>
      <c r="F10" s="1"/>
      <c r="G10" s="1"/>
      <c r="H10" s="1"/>
      <c r="I10" s="1"/>
      <c r="J10" s="1"/>
      <c r="K10" s="1"/>
      <c r="L10" s="6" t="s">
        <v>190</v>
      </c>
      <c r="M10" s="196">
        <f>M8*N10</f>
        <v>0</v>
      </c>
      <c r="N10" s="216">
        <f>IF(Input!$C$13="Cook",'Tax Calculator - Extension'!Y8,'Tax Calculator - Extension'!Y9)</f>
        <v>0.33333333333333326</v>
      </c>
      <c r="O10" s="1"/>
      <c r="X10" s="217" t="s">
        <v>194</v>
      </c>
      <c r="Y10" s="218"/>
      <c r="Z10" s="217"/>
      <c r="AA10" s="217">
        <v>8000</v>
      </c>
      <c r="AB10" s="217"/>
    </row>
    <row r="11" spans="1:28" ht="15.75" customHeight="1" x14ac:dyDescent="0.3">
      <c r="A11" s="1"/>
      <c r="B11" s="1"/>
      <c r="C11" s="1"/>
      <c r="D11" s="1"/>
      <c r="E11" s="1"/>
      <c r="F11" s="1"/>
      <c r="G11" s="1"/>
      <c r="H11" s="1"/>
      <c r="I11" s="1"/>
      <c r="J11" s="1"/>
      <c r="K11" s="1"/>
      <c r="L11" s="6" t="s">
        <v>191</v>
      </c>
      <c r="M11" s="196">
        <f>M10*N11</f>
        <v>0</v>
      </c>
      <c r="N11" s="208">
        <f>IF(Input!$C$13="Cook",'Tax Calculator - Extension'!Z8,'Tax Calculator - Extension'!Z9)</f>
        <v>1</v>
      </c>
      <c r="O11" s="1"/>
      <c r="X11" s="217" t="s">
        <v>195</v>
      </c>
      <c r="Y11" s="218"/>
      <c r="Z11" s="217"/>
      <c r="AA11" s="217">
        <v>8000</v>
      </c>
      <c r="AB11" s="217"/>
    </row>
    <row r="12" spans="1:28" ht="15" x14ac:dyDescent="0.3">
      <c r="A12" s="6" t="str">
        <f>Input!$C$9-1&amp;" Operating Rate"</f>
        <v>2024 Operating Rate</v>
      </c>
      <c r="B12" s="197" t="e">
        <f>(Input!D61/Input!C30)*100</f>
        <v>#DIV/0!</v>
      </c>
      <c r="C12" s="1"/>
      <c r="D12" s="1"/>
      <c r="E12" s="1"/>
      <c r="F12" s="1"/>
      <c r="G12" s="1"/>
      <c r="H12" s="1"/>
      <c r="I12" s="1"/>
      <c r="J12" s="1"/>
      <c r="K12" s="1"/>
      <c r="L12" s="1"/>
      <c r="M12" s="1"/>
      <c r="N12" s="1"/>
      <c r="O12" s="1"/>
      <c r="X12" s="217" t="s">
        <v>196</v>
      </c>
      <c r="Y12" s="218"/>
      <c r="Z12" s="217"/>
      <c r="AA12" s="217">
        <v>8000</v>
      </c>
      <c r="AB12" s="217"/>
    </row>
    <row r="13" spans="1:28" ht="15.5" thickBot="1" x14ac:dyDescent="0.35">
      <c r="A13" s="6" t="str">
        <f>"Estimated "&amp;Input!$C$9&amp;" Operating Rate"</f>
        <v>Estimated 2025 Operating Rate</v>
      </c>
      <c r="B13" s="197" t="e">
        <f>Extension!N31</f>
        <v>#DIV/0!</v>
      </c>
      <c r="C13" s="252"/>
      <c r="D13" s="1"/>
      <c r="E13" s="1"/>
      <c r="F13" s="1"/>
      <c r="G13" s="1"/>
      <c r="H13" s="1"/>
      <c r="I13" s="1"/>
      <c r="J13" s="1"/>
      <c r="K13" s="1"/>
      <c r="L13" s="6"/>
      <c r="M13"/>
      <c r="N13" s="307" t="s">
        <v>209</v>
      </c>
      <c r="O13" s="307"/>
      <c r="P13" s="210"/>
      <c r="X13" s="217" t="s">
        <v>197</v>
      </c>
      <c r="Y13" s="218"/>
      <c r="Z13" s="217"/>
      <c r="AA13" s="217">
        <v>8000</v>
      </c>
      <c r="AB13" s="217"/>
    </row>
    <row r="14" spans="1:28" ht="15.75" customHeight="1" x14ac:dyDescent="0.3">
      <c r="A14" s="6" t="str">
        <f>Extension!H35</f>
        <v xml:space="preserve">Actual Bond &amp; Interest Extension/Rate </v>
      </c>
      <c r="B14" s="197" t="e">
        <f>((Extension!I35*(1+B16)/B10*100)+0.0000001)</f>
        <v>#DIV/0!</v>
      </c>
      <c r="C14" s="109" t="s">
        <v>208</v>
      </c>
      <c r="E14" s="296" t="s">
        <v>215</v>
      </c>
      <c r="F14" s="297"/>
      <c r="G14" s="298"/>
      <c r="I14" s="1"/>
      <c r="J14" s="1"/>
      <c r="K14" s="1"/>
      <c r="L14" s="6" t="s">
        <v>239</v>
      </c>
      <c r="M14" s="209">
        <f>IF(Input!$C$13="Cook",'Tax Calculator - Extension'!AA8,IF(Input!$C$13="DuPage",'Tax Calculator - Extension'!AA9,IF(Input!C13="Lake",'Tax Calculator - Extension'!AA10,IF(Input!C13="McHenry",'Tax Calculator - Extension'!AA11,IF(Input!C13="Kane",'Tax Calculator - Extension'!AA12,IF(Input!C13="Will",'Tax Calculator - Extension'!AA13,AA14))))))</f>
        <v>6000</v>
      </c>
      <c r="N14" s="307"/>
      <c r="O14" s="307"/>
      <c r="P14" s="210"/>
      <c r="X14" s="217"/>
      <c r="Y14" s="217"/>
      <c r="Z14" s="217"/>
      <c r="AA14" s="217">
        <v>6000</v>
      </c>
      <c r="AB14" s="217"/>
    </row>
    <row r="15" spans="1:28" ht="15" x14ac:dyDescent="0.3">
      <c r="A15" s="6"/>
      <c r="B15" s="6"/>
      <c r="C15" s="6"/>
      <c r="D15" s="6"/>
      <c r="E15" s="299"/>
      <c r="F15" s="300"/>
      <c r="G15" s="301"/>
      <c r="I15" s="1"/>
      <c r="J15" s="1"/>
      <c r="K15" s="1"/>
      <c r="L15" s="1"/>
      <c r="M15" s="1"/>
      <c r="N15" s="212"/>
      <c r="O15" s="212"/>
    </row>
    <row r="16" spans="1:28" ht="15.5" thickBot="1" x14ac:dyDescent="0.35">
      <c r="A16" s="6" t="s">
        <v>192</v>
      </c>
      <c r="B16" s="198"/>
      <c r="C16" s="109"/>
      <c r="E16" s="302"/>
      <c r="F16" s="303"/>
      <c r="G16" s="304"/>
      <c r="I16" s="1"/>
      <c r="J16" s="1"/>
      <c r="K16" s="1"/>
      <c r="L16" s="6" t="s">
        <v>199</v>
      </c>
      <c r="M16" s="209">
        <f>M11-M14</f>
        <v>-6000</v>
      </c>
      <c r="N16" s="213"/>
      <c r="O16" s="4"/>
    </row>
    <row r="17" spans="1:15" ht="12.75" customHeight="1" x14ac:dyDescent="0.3">
      <c r="A17" s="1"/>
      <c r="I17" s="1"/>
      <c r="J17" s="1"/>
      <c r="K17" s="1"/>
      <c r="L17" s="1"/>
      <c r="M17" s="1"/>
      <c r="N17" s="1"/>
      <c r="O17" s="1"/>
    </row>
    <row r="18" spans="1:15" ht="15" x14ac:dyDescent="0.3">
      <c r="A18" s="6" t="s">
        <v>189</v>
      </c>
      <c r="B18" s="205"/>
      <c r="C18" s="136" t="s">
        <v>204</v>
      </c>
      <c r="I18" s="1"/>
      <c r="J18" s="1"/>
      <c r="K18" s="1"/>
      <c r="L18" s="6" t="str">
        <f>"Estimated Change in Tax Payment for "&amp; Input!C9</f>
        <v>Estimated Change in Tax Payment for 2025</v>
      </c>
      <c r="M18" s="209" t="e">
        <f>(M16*(B25)/100)-(((((M6*N10)*IF(Input!C13="Cook",Z7,Z9))-M14)*(B26)/100))</f>
        <v>#DIV/0!</v>
      </c>
      <c r="N18" s="1"/>
      <c r="O18" s="1"/>
    </row>
    <row r="19" spans="1:15" ht="15" x14ac:dyDescent="0.3">
      <c r="A19" s="6" t="s">
        <v>202</v>
      </c>
      <c r="B19" s="197" t="e">
        <f>((B18*(1+B16))/B10*100)</f>
        <v>#DIV/0!</v>
      </c>
      <c r="C19" s="136" t="s">
        <v>203</v>
      </c>
      <c r="D19" s="1"/>
      <c r="E19" s="1"/>
      <c r="F19" s="1"/>
      <c r="I19" s="1"/>
      <c r="J19" s="1"/>
      <c r="K19" s="1"/>
      <c r="L19" s="1"/>
      <c r="M19" s="1"/>
      <c r="N19" s="1"/>
      <c r="O19" s="1"/>
    </row>
    <row r="20" spans="1:15" ht="15.75" customHeight="1" x14ac:dyDescent="0.3">
      <c r="A20" s="6"/>
      <c r="B20" s="6"/>
      <c r="C20" s="136"/>
      <c r="D20" s="1"/>
      <c r="E20" s="1"/>
      <c r="F20" s="1"/>
      <c r="I20" s="207" t="str">
        <f>"Note, the calculator is intended to estimate the "&amp;Input!C11&amp;" "&amp;Input!C12&amp;" portion of the tax bill."</f>
        <v>Note, the calculator is intended to estimate the   portion of the tax bill.</v>
      </c>
      <c r="J20" s="207"/>
      <c r="K20" s="207"/>
      <c r="L20" s="207"/>
      <c r="M20" s="207"/>
      <c r="N20" s="207"/>
      <c r="O20" s="1"/>
    </row>
    <row r="21" spans="1:15" ht="15.75" customHeight="1" x14ac:dyDescent="0.3">
      <c r="A21" s="6" t="str">
        <f>"Net "&amp;Input!$C$9&amp;" B&amp;I Tax Rate"</f>
        <v>Net 2025 B&amp;I Tax Rate</v>
      </c>
      <c r="B21" s="197" t="e">
        <f>(IF(B14&gt;B19,B14-B19,"Check Abatement"))</f>
        <v>#DIV/0!</v>
      </c>
      <c r="C21" s="1"/>
      <c r="D21" s="1"/>
      <c r="E21" s="1"/>
      <c r="F21" s="1"/>
      <c r="I21" s="305" t="s">
        <v>224</v>
      </c>
      <c r="J21" s="305"/>
      <c r="K21" s="305"/>
      <c r="L21" s="305"/>
      <c r="M21" s="305"/>
      <c r="N21" s="305"/>
      <c r="O21" s="211"/>
    </row>
    <row r="22" spans="1:15" ht="18.75" customHeight="1" x14ac:dyDescent="0.3">
      <c r="A22" s="6"/>
      <c r="B22" s="6"/>
      <c r="C22" s="136"/>
      <c r="D22" s="1"/>
      <c r="E22" s="1"/>
      <c r="F22" s="1"/>
      <c r="I22" s="305"/>
      <c r="J22" s="305"/>
      <c r="K22" s="305"/>
      <c r="L22" s="305"/>
      <c r="M22" s="305"/>
      <c r="N22" s="305"/>
      <c r="O22" s="211"/>
    </row>
    <row r="23" spans="1:15" ht="16.5" customHeight="1" x14ac:dyDescent="0.3">
      <c r="A23" s="2" t="str">
        <f>Extension!H33</f>
        <v xml:space="preserve">Actual SEDOL IMRF Extension/Rate </v>
      </c>
      <c r="B23" s="253" t="e">
        <f>Extension!J33</f>
        <v>#DIV/0!</v>
      </c>
      <c r="C23" s="136" t="s">
        <v>206</v>
      </c>
      <c r="D23" s="1"/>
      <c r="E23" s="1"/>
      <c r="F23" s="1"/>
      <c r="I23" s="305"/>
      <c r="J23" s="305"/>
      <c r="K23" s="305"/>
      <c r="L23" s="305"/>
      <c r="M23" s="305"/>
      <c r="N23" s="305"/>
      <c r="O23" s="211"/>
    </row>
    <row r="24" spans="1:15" x14ac:dyDescent="0.3">
      <c r="A24" s="1"/>
      <c r="B24" s="185"/>
      <c r="C24" s="1"/>
      <c r="D24" s="1"/>
      <c r="E24" s="1"/>
      <c r="F24" s="1"/>
      <c r="I24" s="215"/>
      <c r="J24" s="215"/>
      <c r="K24" s="215"/>
      <c r="L24" s="215"/>
      <c r="M24" s="215"/>
      <c r="N24" s="215"/>
      <c r="O24" s="211"/>
    </row>
    <row r="25" spans="1:15" ht="15" x14ac:dyDescent="0.3">
      <c r="A25" s="6" t="str">
        <f>"Total "&amp;Input!$C$9&amp;" Tax Rate"</f>
        <v>Total 2025 Tax Rate</v>
      </c>
      <c r="B25" s="197" t="e">
        <f>B21+B13+B23</f>
        <v>#DIV/0!</v>
      </c>
      <c r="C25" s="1"/>
      <c r="D25" s="1"/>
      <c r="E25" s="1"/>
      <c r="F25" s="1"/>
      <c r="I25" s="215"/>
      <c r="J25" s="215"/>
      <c r="K25" s="215"/>
      <c r="L25" s="215"/>
      <c r="M25" s="215"/>
      <c r="N25" s="215"/>
      <c r="O25" s="211"/>
    </row>
    <row r="26" spans="1:15" ht="15" x14ac:dyDescent="0.3">
      <c r="A26" s="6" t="s">
        <v>200</v>
      </c>
      <c r="B26" s="197" t="e">
        <f>Input!D67/Input!C30*100</f>
        <v>#DIV/0!</v>
      </c>
      <c r="C26" s="1"/>
      <c r="D26" s="1"/>
      <c r="E26" s="1"/>
      <c r="F26" s="1"/>
      <c r="I26" s="215"/>
      <c r="J26" s="215"/>
      <c r="K26" s="215"/>
      <c r="L26" s="215"/>
      <c r="M26" s="215"/>
      <c r="N26" s="215"/>
      <c r="O26" s="211"/>
    </row>
    <row r="27" spans="1:15" ht="15" x14ac:dyDescent="0.3">
      <c r="A27" s="6"/>
      <c r="B27" s="6"/>
      <c r="C27" s="1"/>
      <c r="D27" s="1"/>
      <c r="E27" s="1"/>
      <c r="F27" s="1"/>
      <c r="I27" s="215"/>
      <c r="J27" s="215"/>
      <c r="K27" s="215"/>
      <c r="L27" s="215"/>
      <c r="M27" s="215"/>
      <c r="N27" s="215"/>
      <c r="O27" s="211"/>
    </row>
    <row r="28" spans="1:15" s="203" customFormat="1" x14ac:dyDescent="0.3"/>
    <row r="29" spans="1:15" s="203" customFormat="1" x14ac:dyDescent="0.3"/>
    <row r="30" spans="1:15" s="203" customFormat="1" x14ac:dyDescent="0.3"/>
    <row r="31" spans="1:15" s="203" customFormat="1" x14ac:dyDescent="0.3"/>
    <row r="32" spans="1:15" s="203" customFormat="1" x14ac:dyDescent="0.3"/>
    <row r="33" s="203" customFormat="1" x14ac:dyDescent="0.3"/>
    <row r="34" s="203" customFormat="1" x14ac:dyDescent="0.3"/>
    <row r="35" s="203" customFormat="1" x14ac:dyDescent="0.3"/>
    <row r="36" s="203" customFormat="1" x14ac:dyDescent="0.3"/>
    <row r="37" s="203" customFormat="1" x14ac:dyDescent="0.3"/>
    <row r="38" s="203" customFormat="1" x14ac:dyDescent="0.3"/>
    <row r="39" s="203" customFormat="1" x14ac:dyDescent="0.3"/>
    <row r="40" s="203" customFormat="1" x14ac:dyDescent="0.3"/>
    <row r="41" s="203" customFormat="1" x14ac:dyDescent="0.3"/>
    <row r="42" s="203" customFormat="1" x14ac:dyDescent="0.3"/>
    <row r="43" s="203" customFormat="1" x14ac:dyDescent="0.3"/>
    <row r="44" s="203" customFormat="1" x14ac:dyDescent="0.3"/>
    <row r="45" s="203" customFormat="1" x14ac:dyDescent="0.3"/>
    <row r="46" s="203" customFormat="1" x14ac:dyDescent="0.3"/>
    <row r="47" s="203" customFormat="1" x14ac:dyDescent="0.3"/>
    <row r="48" s="203" customFormat="1" x14ac:dyDescent="0.3"/>
    <row r="49" s="203" customFormat="1" x14ac:dyDescent="0.3"/>
    <row r="50" s="203" customFormat="1" x14ac:dyDescent="0.3"/>
    <row r="51" s="203" customFormat="1" x14ac:dyDescent="0.3"/>
    <row r="52" s="203" customFormat="1" x14ac:dyDescent="0.3"/>
    <row r="53" s="203" customFormat="1" x14ac:dyDescent="0.3"/>
    <row r="54" s="203" customFormat="1" x14ac:dyDescent="0.3"/>
    <row r="55" s="203" customFormat="1" x14ac:dyDescent="0.3"/>
    <row r="56" s="203" customFormat="1" x14ac:dyDescent="0.3"/>
    <row r="57" s="203" customFormat="1" x14ac:dyDescent="0.3"/>
    <row r="58" s="203" customFormat="1" x14ac:dyDescent="0.3"/>
    <row r="59" s="203" customFormat="1" x14ac:dyDescent="0.3"/>
    <row r="60" s="203" customFormat="1" x14ac:dyDescent="0.3"/>
    <row r="61" s="203" customFormat="1" x14ac:dyDescent="0.3"/>
    <row r="62" s="203" customFormat="1" x14ac:dyDescent="0.3"/>
    <row r="63" s="203" customFormat="1" x14ac:dyDescent="0.3"/>
    <row r="64" s="203" customFormat="1" x14ac:dyDescent="0.3"/>
    <row r="65" s="203" customFormat="1" x14ac:dyDescent="0.3"/>
    <row r="66" s="203" customFormat="1" x14ac:dyDescent="0.3"/>
    <row r="67" s="203" customFormat="1" x14ac:dyDescent="0.3"/>
    <row r="68" s="203" customFormat="1" x14ac:dyDescent="0.3"/>
    <row r="69" s="203" customFormat="1" x14ac:dyDescent="0.3"/>
    <row r="70" s="203" customFormat="1" x14ac:dyDescent="0.3"/>
    <row r="71" s="203" customFormat="1" x14ac:dyDescent="0.3"/>
    <row r="72" s="203" customFormat="1" x14ac:dyDescent="0.3"/>
    <row r="73" s="203" customFormat="1" x14ac:dyDescent="0.3"/>
    <row r="74" s="203" customFormat="1" x14ac:dyDescent="0.3"/>
    <row r="75" s="203" customFormat="1" x14ac:dyDescent="0.3"/>
    <row r="76" s="203" customFormat="1" x14ac:dyDescent="0.3"/>
    <row r="77" s="203" customFormat="1" x14ac:dyDescent="0.3"/>
    <row r="78" s="203" customFormat="1" x14ac:dyDescent="0.3"/>
    <row r="79" s="203" customFormat="1" x14ac:dyDescent="0.3"/>
    <row r="80" s="203" customFormat="1" x14ac:dyDescent="0.3"/>
    <row r="81" spans="1:15" s="203" customFormat="1" x14ac:dyDescent="0.3"/>
    <row r="82" spans="1:15" s="203" customFormat="1" x14ac:dyDescent="0.3"/>
    <row r="83" spans="1:15" s="203" customFormat="1" x14ac:dyDescent="0.3"/>
    <row r="84" spans="1:15" s="203" customFormat="1" x14ac:dyDescent="0.3"/>
    <row r="85" spans="1:15" s="203" customFormat="1" x14ac:dyDescent="0.3"/>
    <row r="86" spans="1:15" x14ac:dyDescent="0.3">
      <c r="A86" s="203"/>
      <c r="B86" s="203"/>
      <c r="C86" s="203"/>
      <c r="I86" s="203"/>
      <c r="J86" s="203"/>
      <c r="K86" s="203"/>
      <c r="L86" s="203"/>
      <c r="M86" s="203"/>
      <c r="N86" s="203"/>
      <c r="O86" s="203"/>
    </row>
    <row r="87" spans="1:15" x14ac:dyDescent="0.3">
      <c r="I87" s="203"/>
      <c r="J87" s="203"/>
      <c r="K87" s="203"/>
      <c r="L87" s="203"/>
      <c r="M87" s="203"/>
      <c r="N87" s="203"/>
      <c r="O87" s="203"/>
    </row>
  </sheetData>
  <sheetProtection algorithmName="SHA-512" hashValue="catDvLp3ZhweMgtaqY0m/nq2AbQW4MPN8MP4Y9V0c3a+6IhghBWGJRpeTLs6kTWYk8h95bNE3aa86s5FnnRwnA==" saltValue="6+OfKi3oLoX+Wn7JumjajQ==" spinCount="100000" sheet="1" objects="1" scenarios="1"/>
  <mergeCells count="4">
    <mergeCell ref="A2:B2"/>
    <mergeCell ref="N13:O14"/>
    <mergeCell ref="E14:G16"/>
    <mergeCell ref="I21:N23"/>
  </mergeCells>
  <conditionalFormatting sqref="A12:A16">
    <cfRule type="expression" dxfId="8" priority="4" stopIfTrue="1">
      <formula>$B$19="N/A"</formula>
    </cfRule>
  </conditionalFormatting>
  <conditionalFormatting sqref="L6:L11 M7 M9 L13:L14 B15:D15 L16 A18:A19 A20:B20 A21:A22 B22 A25:A27 B27">
    <cfRule type="expression" dxfId="2" priority="9" stopIfTrue="1">
      <formula>$B$19="N/A"</formula>
    </cfRule>
  </conditionalFormatting>
  <conditionalFormatting sqref="L18">
    <cfRule type="expression" dxfId="1" priority="8" stopIfTrue="1">
      <formula>$B$19="N/A"</formula>
    </cfRule>
  </conditionalFormatting>
  <pageMargins left="0.7" right="0.7" top="0.75" bottom="0.75" header="0.3" footer="0.3"/>
  <pageSetup orientation="portrait" horizontalDpi="200" verticalDpi="200" r:id="rId1"/>
  <ignoredErrors>
    <ignoredError sqref="B23" unlockedFormula="1"/>
    <ignoredError sqref="B10" evalError="1"/>
  </ignoredErrors>
  <drawing r:id="rId2"/>
  <extLst>
    <ext xmlns:x14="http://schemas.microsoft.com/office/spreadsheetml/2009/9/main" uri="{78C0D931-6437-407d-A8EE-F0AAD7539E65}">
      <x14:conditionalFormattings>
        <x14:conditionalFormatting xmlns:xm="http://schemas.microsoft.com/office/excel/2006/main">
          <x14:cfRule type="expression" priority="3" id="{2FE24790-5E0A-4997-BB90-F1A2E045E4C0}">
            <xm:f>Input!$C$19="No"</xm:f>
            <x14:dxf>
              <font>
                <color theme="0"/>
              </font>
            </x14:dxf>
          </x14:cfRule>
          <xm:sqref>A9</xm:sqref>
        </x14:conditionalFormatting>
        <x14:conditionalFormatting xmlns:xm="http://schemas.microsoft.com/office/excel/2006/main">
          <x14:cfRule type="expression" priority="6" id="{AFFE5AF5-D1AD-4D65-AB4A-B79DF87484C1}">
            <xm:f>Input!$C$19="No"</xm:f>
            <x14:dxf>
              <font>
                <color theme="0"/>
              </font>
              <fill>
                <patternFill>
                  <bgColor theme="0"/>
                </patternFill>
              </fill>
              <border>
                <left/>
                <right/>
                <top/>
                <bottom/>
                <vertical/>
                <horizontal/>
              </border>
            </x14:dxf>
          </x14:cfRule>
          <xm:sqref>A23:C23</xm:sqref>
        </x14:conditionalFormatting>
        <x14:conditionalFormatting xmlns:xm="http://schemas.microsoft.com/office/excel/2006/main">
          <x14:cfRule type="expression" priority="2" id="{FFB8212F-DDFF-4607-821D-2E851445B936}">
            <xm:f>Input!$C$19="No"</xm:f>
            <x14:dxf>
              <font>
                <color theme="0"/>
              </font>
              <fill>
                <patternFill patternType="none">
                  <bgColor auto="1"/>
                </patternFill>
              </fill>
              <border>
                <left/>
                <right/>
                <top/>
                <bottom style="thin">
                  <color auto="1"/>
                </bottom>
                <vertical/>
                <horizontal/>
              </border>
            </x14:dxf>
          </x14:cfRule>
          <xm:sqref>B9</xm:sqref>
        </x14:conditionalFormatting>
        <x14:conditionalFormatting xmlns:xm="http://schemas.microsoft.com/office/excel/2006/main">
          <x14:cfRule type="cellIs" priority="7" operator="between" id="{DD3BACBB-4B19-4BBD-AF15-617C6CEAC772}">
            <xm:f>0</xm:f>
            <xm:f>Calculations!$G$33</xm:f>
            <x14:dxf>
              <fill>
                <patternFill>
                  <bgColor rgb="FFCCFFCC"/>
                </patternFill>
              </fill>
            </x14:dxf>
          </x14:cfRule>
          <xm:sqref>B18</xm:sqref>
        </x14:conditionalFormatting>
        <x14:conditionalFormatting xmlns:xm="http://schemas.microsoft.com/office/excel/2006/main">
          <x14:cfRule type="expression" priority="5" id="{EB758DCE-0663-4A88-9467-5808696C06DC}">
            <xm:f>Input!$C$19="No"</xm:f>
            <x14:dxf>
              <font>
                <color theme="0"/>
              </font>
            </x14:dxf>
          </x14:cfRule>
          <xm:sqref>B24</xm:sqref>
        </x14:conditionalFormatting>
        <x14:conditionalFormatting xmlns:xm="http://schemas.microsoft.com/office/excel/2006/main">
          <x14:cfRule type="expression" priority="1" id="{2CDEB757-2BB3-45DB-9FC3-CEA46CF616A6}">
            <xm:f>Input!$C$19="No"</xm:f>
            <x14:dxf>
              <font>
                <color theme="0"/>
              </font>
            </x14:dxf>
          </x14:cfRule>
          <xm:sqref>C10</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
    <tabColor theme="9" tint="0.59999389629810485"/>
    <pageSetUpPr fitToPage="1"/>
  </sheetPr>
  <dimension ref="A1:Q77"/>
  <sheetViews>
    <sheetView showGridLines="0" zoomScale="115" zoomScaleNormal="115" workbookViewId="0">
      <selection activeCell="Q18" sqref="Q18"/>
    </sheetView>
  </sheetViews>
  <sheetFormatPr defaultColWidth="0" defaultRowHeight="12.5" zeroHeight="1" x14ac:dyDescent="0.25"/>
  <cols>
    <col min="1" max="1" width="10.453125" style="13" customWidth="1"/>
    <col min="2" max="2" width="9.7265625" style="13" customWidth="1"/>
    <col min="3" max="3" width="5.7265625" style="13" customWidth="1"/>
    <col min="4" max="4" width="9.26953125" style="13" customWidth="1"/>
    <col min="5" max="5" width="7.7265625" style="13" customWidth="1"/>
    <col min="6" max="6" width="6" style="13" customWidth="1"/>
    <col min="7" max="7" width="8.7265625" style="13" customWidth="1"/>
    <col min="8" max="8" width="10.7265625" style="13" customWidth="1"/>
    <col min="9" max="10" width="2.7265625" style="13" customWidth="1"/>
    <col min="11" max="12" width="7.7265625" style="13" customWidth="1"/>
    <col min="13" max="13" width="2.7265625" style="13" customWidth="1"/>
    <col min="14" max="14" width="3.7265625" style="13" customWidth="1"/>
    <col min="15" max="15" width="2.7265625" style="13" customWidth="1"/>
    <col min="16" max="17" width="9.26953125" style="13" customWidth="1"/>
    <col min="18" max="16384" width="0" style="13" hidden="1"/>
  </cols>
  <sheetData>
    <row r="1" spans="1:17" ht="12.4" customHeight="1" x14ac:dyDescent="0.25">
      <c r="C1" s="14"/>
      <c r="D1" s="15" t="s">
        <v>3</v>
      </c>
      <c r="E1" s="15"/>
      <c r="F1" s="15"/>
      <c r="G1" s="15"/>
      <c r="H1" s="15"/>
      <c r="I1" s="15"/>
      <c r="J1" s="15"/>
      <c r="K1" s="15"/>
      <c r="L1" s="15"/>
      <c r="M1" s="15"/>
      <c r="N1" s="15"/>
      <c r="O1" s="15"/>
      <c r="P1" s="15"/>
      <c r="Q1" s="15"/>
    </row>
    <row r="2" spans="1:17" ht="12.4" customHeight="1" x14ac:dyDescent="0.25">
      <c r="B2" s="16" t="s">
        <v>48</v>
      </c>
      <c r="C2" s="17" t="str">
        <f>IF(Input!$C$23=0,"",Input!$C$23)</f>
        <v>x</v>
      </c>
      <c r="D2" s="18" t="s">
        <v>4</v>
      </c>
      <c r="E2" s="19"/>
      <c r="F2" s="20"/>
      <c r="G2" s="20"/>
      <c r="H2" s="20"/>
      <c r="I2" s="20"/>
      <c r="J2" s="20"/>
      <c r="K2" s="20"/>
      <c r="L2" s="20"/>
      <c r="M2" s="20"/>
    </row>
    <row r="3" spans="1:17" ht="12.4" customHeight="1" x14ac:dyDescent="0.25">
      <c r="B3" s="21" t="s">
        <v>49</v>
      </c>
      <c r="C3" s="17" t="str">
        <f>IF(Input!$C$24=0,"",Input!$C$24)</f>
        <v/>
      </c>
      <c r="E3" s="22"/>
      <c r="F3" s="214" t="s">
        <v>213</v>
      </c>
      <c r="G3" s="20"/>
      <c r="H3" s="20"/>
      <c r="I3" s="20"/>
      <c r="J3" s="20"/>
      <c r="K3" s="20"/>
      <c r="L3" s="20"/>
      <c r="M3" s="20"/>
    </row>
    <row r="4" spans="1:17" ht="12.4" customHeight="1" x14ac:dyDescent="0.25">
      <c r="B4" s="20"/>
      <c r="C4" s="20"/>
      <c r="E4" s="23"/>
      <c r="G4" s="20"/>
      <c r="H4" s="20"/>
      <c r="I4" s="20"/>
      <c r="J4" s="20"/>
      <c r="K4" s="20"/>
      <c r="L4" s="20"/>
      <c r="M4" s="20"/>
    </row>
    <row r="5" spans="1:17" ht="12.4" customHeight="1" x14ac:dyDescent="0.25">
      <c r="A5" s="24"/>
      <c r="B5" s="24"/>
      <c r="C5" s="24"/>
      <c r="G5" s="24"/>
      <c r="H5" s="24"/>
      <c r="I5" s="24"/>
      <c r="J5" s="24"/>
      <c r="K5" s="24"/>
      <c r="L5" s="24"/>
      <c r="M5" s="24"/>
    </row>
    <row r="6" spans="1:17" ht="15.5" x14ac:dyDescent="0.25">
      <c r="A6" s="319" t="s">
        <v>5</v>
      </c>
      <c r="B6" s="319"/>
      <c r="C6" s="319"/>
      <c r="D6" s="319"/>
      <c r="E6" s="319"/>
      <c r="F6" s="319"/>
      <c r="G6" s="319"/>
      <c r="H6" s="319"/>
      <c r="I6" s="319"/>
      <c r="J6" s="319"/>
      <c r="K6" s="319"/>
      <c r="L6" s="319"/>
      <c r="M6" s="319"/>
    </row>
    <row r="7" spans="1:17" ht="7.5" customHeight="1" x14ac:dyDescent="0.25"/>
    <row r="8" spans="1:17" x14ac:dyDescent="0.25">
      <c r="A8" s="25" t="s">
        <v>14</v>
      </c>
    </row>
    <row r="9" spans="1:17" x14ac:dyDescent="0.25">
      <c r="A9" s="25" t="s">
        <v>15</v>
      </c>
    </row>
    <row r="10" spans="1:17" ht="7.5" customHeight="1" x14ac:dyDescent="0.25"/>
    <row r="11" spans="1:17" x14ac:dyDescent="0.25">
      <c r="A11" s="26" t="s">
        <v>16</v>
      </c>
      <c r="B11" s="27"/>
      <c r="C11" s="27"/>
      <c r="D11" s="27"/>
      <c r="E11" s="27"/>
      <c r="F11" s="27"/>
      <c r="G11" s="26" t="s">
        <v>17</v>
      </c>
      <c r="H11" s="27"/>
      <c r="I11" s="27"/>
      <c r="J11" s="28"/>
      <c r="K11" s="26" t="s">
        <v>2</v>
      </c>
      <c r="L11" s="27"/>
      <c r="M11" s="27"/>
      <c r="N11" s="27"/>
      <c r="O11" s="27"/>
      <c r="P11" s="28"/>
    </row>
    <row r="12" spans="1:17" x14ac:dyDescent="0.25">
      <c r="A12" s="321">
        <f>Input!C11</f>
        <v>0</v>
      </c>
      <c r="B12" s="315"/>
      <c r="C12" s="315"/>
      <c r="D12" s="315"/>
      <c r="E12" s="315"/>
      <c r="F12" s="315"/>
      <c r="G12" s="321">
        <f>Input!$C$12</f>
        <v>0</v>
      </c>
      <c r="H12" s="315"/>
      <c r="I12" s="315"/>
      <c r="J12" s="322"/>
      <c r="K12" s="321">
        <f>IF(Input!$C$14=0,Input!C13,IF(Input!C15=0,Input!C13&amp;", "&amp;Input!C14,IF(Input!C16=0,Input!C13&amp;", "&amp;Input!C14&amp;", "&amp;Input!C15,Input!C13&amp;", "&amp;Input!C14&amp;", "&amp;Input!C15&amp;", "&amp;Input!C16)))</f>
        <v>0</v>
      </c>
      <c r="L12" s="315"/>
      <c r="M12" s="315"/>
      <c r="N12" s="315"/>
      <c r="O12" s="315"/>
      <c r="P12" s="322"/>
    </row>
    <row r="13" spans="1:17" ht="7.5" customHeight="1" x14ac:dyDescent="0.25">
      <c r="A13" s="30"/>
      <c r="B13" s="31"/>
      <c r="C13" s="31"/>
      <c r="D13" s="31"/>
      <c r="E13" s="31"/>
      <c r="F13" s="32"/>
      <c r="G13" s="31"/>
      <c r="H13" s="31"/>
      <c r="I13" s="31"/>
      <c r="J13" s="31"/>
      <c r="K13" s="33"/>
      <c r="L13" s="33"/>
      <c r="M13" s="33"/>
      <c r="N13" s="33"/>
    </row>
    <row r="14" spans="1:17" ht="14" x14ac:dyDescent="0.25">
      <c r="A14" s="34" t="s">
        <v>18</v>
      </c>
      <c r="B14" s="35"/>
      <c r="C14" s="35"/>
      <c r="D14" s="35"/>
      <c r="E14" s="35"/>
      <c r="F14" s="35"/>
      <c r="G14" s="35"/>
      <c r="H14" s="35"/>
      <c r="I14" s="35"/>
      <c r="J14" s="35"/>
      <c r="K14" s="35"/>
      <c r="L14" s="35"/>
    </row>
    <row r="15" spans="1:17" ht="7.5" customHeight="1" x14ac:dyDescent="0.25"/>
    <row r="16" spans="1:17" x14ac:dyDescent="0.25">
      <c r="A16" s="36" t="s">
        <v>19</v>
      </c>
      <c r="C16" s="37" t="s">
        <v>0</v>
      </c>
      <c r="D16" s="320" t="e">
        <f>Calculations!J14</f>
        <v>#DIV/0!</v>
      </c>
      <c r="E16" s="320"/>
      <c r="G16" s="36" t="s">
        <v>50</v>
      </c>
      <c r="J16" s="37" t="s">
        <v>0</v>
      </c>
      <c r="K16" s="320" t="e">
        <f>Calculations!J20</f>
        <v>#DIV/0!</v>
      </c>
      <c r="L16" s="320"/>
    </row>
    <row r="17" spans="1:12" x14ac:dyDescent="0.25">
      <c r="A17" s="36" t="s">
        <v>47</v>
      </c>
      <c r="C17" s="37" t="s">
        <v>0</v>
      </c>
      <c r="D17" s="320" t="e">
        <f>Calculations!J15</f>
        <v>#DIV/0!</v>
      </c>
      <c r="E17" s="320"/>
      <c r="G17" s="36" t="s">
        <v>24</v>
      </c>
      <c r="J17" s="37" t="s">
        <v>0</v>
      </c>
      <c r="K17" s="320" t="e">
        <f>Calculations!J21</f>
        <v>#DIV/0!</v>
      </c>
      <c r="L17" s="320"/>
    </row>
    <row r="18" spans="1:12" x14ac:dyDescent="0.25">
      <c r="A18" s="36" t="s">
        <v>20</v>
      </c>
      <c r="C18" s="37" t="s">
        <v>0</v>
      </c>
      <c r="D18" s="320" t="e">
        <f>Calculations!J16</f>
        <v>#DIV/0!</v>
      </c>
      <c r="E18" s="320"/>
      <c r="G18" s="36" t="s">
        <v>25</v>
      </c>
      <c r="J18" s="37" t="s">
        <v>0</v>
      </c>
      <c r="K18" s="320" t="e">
        <f>Calculations!J22</f>
        <v>#DIV/0!</v>
      </c>
      <c r="L18" s="320"/>
    </row>
    <row r="19" spans="1:12" x14ac:dyDescent="0.25">
      <c r="A19" s="36" t="s">
        <v>21</v>
      </c>
      <c r="C19" s="37" t="s">
        <v>0</v>
      </c>
      <c r="D19" s="320" t="e">
        <f>Calculations!J17</f>
        <v>#DIV/0!</v>
      </c>
      <c r="E19" s="320"/>
      <c r="G19" s="36" t="s">
        <v>26</v>
      </c>
      <c r="J19" s="37" t="s">
        <v>0</v>
      </c>
      <c r="K19" s="320" t="e">
        <f>Calculations!J23</f>
        <v>#DIV/0!</v>
      </c>
      <c r="L19" s="320"/>
    </row>
    <row r="20" spans="1:12" x14ac:dyDescent="0.25">
      <c r="A20" s="36" t="s">
        <v>22</v>
      </c>
      <c r="C20" s="37" t="s">
        <v>0</v>
      </c>
      <c r="D20" s="320" t="e">
        <f>Calculations!J18</f>
        <v>#DIV/0!</v>
      </c>
      <c r="E20" s="320"/>
      <c r="G20" s="36" t="str">
        <f>Input!B59</f>
        <v xml:space="preserve"> </v>
      </c>
      <c r="J20" s="37" t="s">
        <v>0</v>
      </c>
      <c r="K20" s="320" t="e">
        <f>Calculations!J24</f>
        <v>#DIV/0!</v>
      </c>
      <c r="L20" s="320"/>
    </row>
    <row r="21" spans="1:12" x14ac:dyDescent="0.25">
      <c r="A21" s="36" t="s">
        <v>23</v>
      </c>
      <c r="C21" s="37" t="s">
        <v>0</v>
      </c>
      <c r="D21" s="320" t="e">
        <f>Calculations!J19</f>
        <v>#DIV/0!</v>
      </c>
      <c r="E21" s="320"/>
      <c r="G21" s="36" t="str">
        <f>IF(Calculations!$G$31=0,"Other",Calculations!$A$31)</f>
        <v>Other</v>
      </c>
      <c r="J21" s="37" t="s">
        <v>0</v>
      </c>
      <c r="K21" s="320">
        <f>Calculations!J31</f>
        <v>0</v>
      </c>
      <c r="L21" s="320"/>
    </row>
    <row r="22" spans="1:12" x14ac:dyDescent="0.25">
      <c r="A22" s="36"/>
      <c r="C22" s="37"/>
      <c r="D22" s="325"/>
      <c r="E22" s="325"/>
      <c r="G22" s="36" t="s">
        <v>27</v>
      </c>
      <c r="J22" s="37" t="s">
        <v>0</v>
      </c>
      <c r="K22" s="320" t="e">
        <f>SUM(K16:L21)+SUM(D16:E21)</f>
        <v>#DIV/0!</v>
      </c>
      <c r="L22" s="320"/>
    </row>
    <row r="23" spans="1:12" x14ac:dyDescent="0.25">
      <c r="G23" s="38" t="s">
        <v>28</v>
      </c>
    </row>
    <row r="24" spans="1:12" ht="11.65" customHeight="1" x14ac:dyDescent="0.25">
      <c r="A24" s="36" t="s">
        <v>6</v>
      </c>
      <c r="G24" s="39" t="s">
        <v>29</v>
      </c>
    </row>
    <row r="25" spans="1:12" ht="9.4" customHeight="1" x14ac:dyDescent="0.25">
      <c r="A25" s="39" t="s">
        <v>69</v>
      </c>
      <c r="B25" s="38"/>
    </row>
    <row r="26" spans="1:12" ht="9.4" customHeight="1" x14ac:dyDescent="0.25">
      <c r="A26" s="40" t="s">
        <v>51</v>
      </c>
      <c r="B26" s="38"/>
    </row>
    <row r="27" spans="1:12" ht="4.5" customHeight="1" x14ac:dyDescent="0.25"/>
    <row r="28" spans="1:12" ht="13" x14ac:dyDescent="0.3">
      <c r="A28" s="41" t="s">
        <v>7</v>
      </c>
    </row>
    <row r="29" spans="1:12" x14ac:dyDescent="0.25">
      <c r="B29" s="42" t="s">
        <v>30</v>
      </c>
      <c r="C29" s="317" t="e">
        <f t="shared" ref="C29:C34" si="0">D16</f>
        <v>#DIV/0!</v>
      </c>
      <c r="D29" s="318"/>
      <c r="E29" s="42" t="s">
        <v>13</v>
      </c>
    </row>
    <row r="30" spans="1:12" x14ac:dyDescent="0.25">
      <c r="B30" s="42" t="s">
        <v>30</v>
      </c>
      <c r="C30" s="317" t="e">
        <f t="shared" si="0"/>
        <v>#DIV/0!</v>
      </c>
      <c r="D30" s="318"/>
      <c r="E30" s="42" t="s">
        <v>31</v>
      </c>
    </row>
    <row r="31" spans="1:12" x14ac:dyDescent="0.25">
      <c r="B31" s="42" t="s">
        <v>30</v>
      </c>
      <c r="C31" s="317" t="e">
        <f t="shared" si="0"/>
        <v>#DIV/0!</v>
      </c>
      <c r="D31" s="318"/>
      <c r="E31" s="42" t="s">
        <v>32</v>
      </c>
    </row>
    <row r="32" spans="1:12" x14ac:dyDescent="0.25">
      <c r="B32" s="42" t="s">
        <v>30</v>
      </c>
      <c r="C32" s="317" t="e">
        <f t="shared" si="0"/>
        <v>#DIV/0!</v>
      </c>
      <c r="D32" s="318"/>
      <c r="E32" s="42" t="s">
        <v>34</v>
      </c>
    </row>
    <row r="33" spans="1:13" x14ac:dyDescent="0.25">
      <c r="B33" s="42" t="s">
        <v>30</v>
      </c>
      <c r="C33" s="317" t="e">
        <f t="shared" si="0"/>
        <v>#DIV/0!</v>
      </c>
      <c r="D33" s="318"/>
      <c r="E33" s="42" t="s">
        <v>33</v>
      </c>
    </row>
    <row r="34" spans="1:13" x14ac:dyDescent="0.25">
      <c r="B34" s="42" t="s">
        <v>30</v>
      </c>
      <c r="C34" s="317" t="e">
        <f t="shared" si="0"/>
        <v>#DIV/0!</v>
      </c>
      <c r="D34" s="318"/>
      <c r="E34" s="42" t="s">
        <v>35</v>
      </c>
    </row>
    <row r="35" spans="1:13" x14ac:dyDescent="0.25">
      <c r="B35" s="42" t="s">
        <v>30</v>
      </c>
      <c r="C35" s="317" t="e">
        <f>K16</f>
        <v>#DIV/0!</v>
      </c>
      <c r="D35" s="318"/>
      <c r="E35" s="42" t="s">
        <v>45</v>
      </c>
    </row>
    <row r="36" spans="1:13" x14ac:dyDescent="0.25">
      <c r="B36" s="43"/>
      <c r="E36" s="42" t="s">
        <v>46</v>
      </c>
    </row>
    <row r="37" spans="1:13" x14ac:dyDescent="0.25">
      <c r="B37" s="42" t="s">
        <v>30</v>
      </c>
      <c r="C37" s="317" t="e">
        <f>K17</f>
        <v>#DIV/0!</v>
      </c>
      <c r="D37" s="318"/>
      <c r="E37" s="42" t="s">
        <v>36</v>
      </c>
    </row>
    <row r="38" spans="1:13" x14ac:dyDescent="0.25">
      <c r="B38" s="42" t="s">
        <v>30</v>
      </c>
      <c r="C38" s="317" t="e">
        <f>K18</f>
        <v>#DIV/0!</v>
      </c>
      <c r="D38" s="318"/>
      <c r="E38" s="42" t="s">
        <v>37</v>
      </c>
    </row>
    <row r="39" spans="1:13" x14ac:dyDescent="0.25">
      <c r="B39" s="42" t="s">
        <v>30</v>
      </c>
      <c r="C39" s="317" t="e">
        <f>K19</f>
        <v>#DIV/0!</v>
      </c>
      <c r="D39" s="318"/>
      <c r="E39" s="42" t="s">
        <v>38</v>
      </c>
    </row>
    <row r="40" spans="1:13" x14ac:dyDescent="0.25">
      <c r="B40" s="43"/>
      <c r="C40" s="27"/>
      <c r="D40" s="27"/>
      <c r="E40" s="42" t="s">
        <v>67</v>
      </c>
    </row>
    <row r="41" spans="1:13" x14ac:dyDescent="0.25">
      <c r="B41" s="42" t="s">
        <v>30</v>
      </c>
      <c r="C41" s="317" t="e">
        <f>K20</f>
        <v>#DIV/0!</v>
      </c>
      <c r="D41" s="318"/>
      <c r="E41" s="42" t="s">
        <v>52</v>
      </c>
      <c r="I41" s="315" t="str">
        <f>IF(Input!$B$59=0,"",Input!$B$59)</f>
        <v xml:space="preserve"> </v>
      </c>
      <c r="J41" s="315"/>
      <c r="K41" s="315"/>
      <c r="L41" s="315"/>
      <c r="M41" s="13" t="s">
        <v>1</v>
      </c>
    </row>
    <row r="42" spans="1:13" x14ac:dyDescent="0.25">
      <c r="B42" s="42" t="s">
        <v>30</v>
      </c>
      <c r="C42" s="317">
        <f>K21</f>
        <v>0</v>
      </c>
      <c r="D42" s="318"/>
      <c r="E42" s="42" t="s">
        <v>52</v>
      </c>
      <c r="I42" s="315" t="str">
        <f>IF(Calculations!$G$31=0,"",Calculations!$A$31)</f>
        <v/>
      </c>
      <c r="J42" s="315"/>
      <c r="K42" s="315"/>
      <c r="L42" s="315"/>
    </row>
    <row r="43" spans="1:13" x14ac:dyDescent="0.25">
      <c r="B43" s="42" t="s">
        <v>58</v>
      </c>
      <c r="G43" s="42"/>
      <c r="H43" s="29">
        <f>Input!$C$9</f>
        <v>2025</v>
      </c>
      <c r="I43" s="44"/>
      <c r="J43" s="44"/>
      <c r="K43" s="44"/>
      <c r="L43" s="45"/>
      <c r="M43" s="46"/>
    </row>
    <row r="44" spans="1:13" x14ac:dyDescent="0.25">
      <c r="E44" s="47"/>
    </row>
    <row r="45" spans="1:13" x14ac:dyDescent="0.25">
      <c r="A45" s="13" t="s">
        <v>53</v>
      </c>
      <c r="B45" s="194" t="s">
        <v>184</v>
      </c>
      <c r="C45" s="46" t="s">
        <v>59</v>
      </c>
      <c r="D45" s="195" t="s">
        <v>185</v>
      </c>
      <c r="E45" s="29">
        <f>Input!$C$9</f>
        <v>2025</v>
      </c>
      <c r="F45" s="48"/>
      <c r="G45" s="13" t="s">
        <v>8</v>
      </c>
      <c r="H45" s="49"/>
      <c r="I45" s="49"/>
      <c r="J45" s="49"/>
      <c r="K45" s="49"/>
      <c r="L45" s="49"/>
    </row>
    <row r="46" spans="1:13" x14ac:dyDescent="0.25">
      <c r="J46" s="50" t="s">
        <v>39</v>
      </c>
    </row>
    <row r="47" spans="1:13" x14ac:dyDescent="0.25"/>
    <row r="48" spans="1:13" x14ac:dyDescent="0.25">
      <c r="G48" s="49"/>
      <c r="H48" s="49"/>
      <c r="I48" s="49"/>
      <c r="J48" s="49"/>
      <c r="K48" s="49"/>
      <c r="L48" s="49"/>
    </row>
    <row r="49" spans="1:16" x14ac:dyDescent="0.25">
      <c r="G49" s="50" t="s">
        <v>40</v>
      </c>
    </row>
    <row r="50" spans="1:16" x14ac:dyDescent="0.25"/>
    <row r="51" spans="1:16" s="54" customFormat="1" ht="10.15" customHeight="1" x14ac:dyDescent="0.2">
      <c r="A51" s="51" t="s">
        <v>61</v>
      </c>
      <c r="B51" s="52"/>
      <c r="C51" s="52"/>
      <c r="D51" s="52"/>
      <c r="E51" s="52"/>
      <c r="F51" s="52"/>
      <c r="G51" s="52"/>
      <c r="H51" s="52"/>
      <c r="I51" s="52"/>
      <c r="J51" s="52"/>
      <c r="K51" s="52"/>
      <c r="L51" s="52"/>
      <c r="M51" s="52"/>
      <c r="N51" s="52"/>
      <c r="O51" s="52"/>
      <c r="P51" s="53"/>
    </row>
    <row r="52" spans="1:16" s="54" customFormat="1" ht="10.9" customHeight="1" x14ac:dyDescent="0.2">
      <c r="A52" s="51" t="s">
        <v>62</v>
      </c>
      <c r="B52" s="52"/>
      <c r="C52" s="52"/>
      <c r="D52" s="52"/>
      <c r="E52" s="52"/>
      <c r="F52" s="52"/>
      <c r="G52" s="52"/>
      <c r="H52" s="52"/>
      <c r="I52" s="52"/>
      <c r="J52" s="52"/>
      <c r="K52" s="52"/>
      <c r="L52" s="52"/>
      <c r="M52" s="52"/>
      <c r="N52" s="52"/>
      <c r="O52" s="52"/>
      <c r="P52" s="53"/>
    </row>
    <row r="53" spans="1:16" s="54" customFormat="1" ht="10.9" customHeight="1" x14ac:dyDescent="0.2">
      <c r="A53" s="51" t="s">
        <v>63</v>
      </c>
      <c r="B53" s="52"/>
      <c r="C53" s="52"/>
      <c r="D53" s="52"/>
      <c r="E53" s="52"/>
      <c r="F53" s="52"/>
      <c r="G53" s="52"/>
      <c r="H53" s="52"/>
      <c r="I53" s="52"/>
      <c r="J53" s="52"/>
      <c r="K53" s="52"/>
      <c r="L53" s="52"/>
      <c r="M53" s="52"/>
      <c r="N53" s="52"/>
      <c r="O53" s="52"/>
      <c r="P53" s="53"/>
    </row>
    <row r="54" spans="1:16" s="54" customFormat="1" ht="10.9" customHeight="1" x14ac:dyDescent="0.2">
      <c r="A54" s="51" t="s">
        <v>64</v>
      </c>
      <c r="B54" s="52"/>
      <c r="C54" s="52"/>
      <c r="D54" s="52"/>
      <c r="E54" s="52"/>
      <c r="F54" s="52"/>
      <c r="G54" s="52"/>
      <c r="H54" s="52"/>
      <c r="I54" s="52"/>
      <c r="J54" s="52"/>
      <c r="K54" s="52"/>
      <c r="L54" s="52"/>
      <c r="M54" s="52"/>
      <c r="N54" s="52"/>
      <c r="O54" s="52"/>
      <c r="P54" s="53"/>
    </row>
    <row r="55" spans="1:16" ht="6" customHeight="1" x14ac:dyDescent="0.25">
      <c r="A55" s="36"/>
    </row>
    <row r="56" spans="1:16" x14ac:dyDescent="0.25">
      <c r="A56" s="55" t="s">
        <v>55</v>
      </c>
      <c r="I56" s="56"/>
      <c r="J56" s="57"/>
      <c r="K56" s="57">
        <f>Input!C43</f>
        <v>0</v>
      </c>
      <c r="L56" s="13" t="s">
        <v>8</v>
      </c>
    </row>
    <row r="57" spans="1:16" ht="6.75" customHeight="1" thickBot="1" x14ac:dyDescent="0.3"/>
    <row r="58" spans="1:16" ht="8.25" customHeight="1" x14ac:dyDescent="0.25">
      <c r="A58" s="58"/>
      <c r="B58" s="58"/>
      <c r="C58" s="58"/>
      <c r="D58" s="58"/>
      <c r="E58" s="58"/>
      <c r="F58" s="58"/>
      <c r="G58" s="58"/>
      <c r="H58" s="58"/>
      <c r="I58" s="58"/>
      <c r="J58" s="58"/>
      <c r="K58" s="58"/>
      <c r="L58" s="58"/>
      <c r="M58" s="58"/>
      <c r="N58" s="58"/>
      <c r="O58" s="59"/>
      <c r="P58" s="59"/>
    </row>
    <row r="59" spans="1:16" x14ac:dyDescent="0.25">
      <c r="A59" s="316" t="s">
        <v>9</v>
      </c>
      <c r="B59" s="316"/>
      <c r="C59" s="316"/>
      <c r="D59" s="316"/>
      <c r="E59" s="316"/>
      <c r="F59" s="316"/>
      <c r="G59" s="316"/>
      <c r="H59" s="316"/>
      <c r="I59" s="316"/>
      <c r="J59" s="316"/>
      <c r="K59" s="316"/>
      <c r="L59" s="316"/>
      <c r="M59" s="316"/>
    </row>
    <row r="60" spans="1:16" x14ac:dyDescent="0.25"/>
    <row r="61" spans="1:16" x14ac:dyDescent="0.25">
      <c r="A61" s="47" t="s">
        <v>56</v>
      </c>
      <c r="F61" s="46"/>
      <c r="G61" s="46"/>
      <c r="H61" s="60">
        <f>G12</f>
        <v>0</v>
      </c>
      <c r="I61" s="13" t="s">
        <v>12</v>
      </c>
      <c r="J61" s="330">
        <f>K12</f>
        <v>0</v>
      </c>
      <c r="K61" s="330"/>
      <c r="L61" s="330"/>
      <c r="M61" s="61" t="s">
        <v>54</v>
      </c>
    </row>
    <row r="62" spans="1:16" ht="15.75" customHeight="1" x14ac:dyDescent="0.25">
      <c r="A62" s="61" t="s">
        <v>60</v>
      </c>
      <c r="K62" s="62"/>
      <c r="L62" s="315">
        <f>H43</f>
        <v>2025</v>
      </c>
      <c r="M62" s="315" t="s">
        <v>12</v>
      </c>
    </row>
    <row r="63" spans="1:16" ht="15" customHeight="1" x14ac:dyDescent="0.25">
      <c r="A63" s="42" t="s">
        <v>41</v>
      </c>
      <c r="G63" s="324"/>
      <c r="H63" s="315"/>
      <c r="I63" s="46" t="s">
        <v>12</v>
      </c>
      <c r="J63" s="315">
        <f>H43</f>
        <v>2025</v>
      </c>
      <c r="K63" s="315"/>
      <c r="L63" s="13" t="s">
        <v>8</v>
      </c>
    </row>
    <row r="64" spans="1:16" s="61" customFormat="1" ht="15" customHeight="1" x14ac:dyDescent="0.25">
      <c r="A64" s="47" t="s">
        <v>57</v>
      </c>
    </row>
    <row r="65" spans="1:16" s="61" customFormat="1" ht="15" customHeight="1" x14ac:dyDescent="0.25">
      <c r="A65" s="61" t="s">
        <v>68</v>
      </c>
    </row>
    <row r="66" spans="1:16" s="61" customFormat="1" ht="15" customHeight="1" x14ac:dyDescent="0.25">
      <c r="A66" s="61" t="s">
        <v>66</v>
      </c>
      <c r="H66" s="29"/>
      <c r="I66" s="315">
        <f>Input!$C$9</f>
        <v>2025</v>
      </c>
      <c r="J66" s="315"/>
      <c r="K66" s="315"/>
      <c r="L66" s="63" t="s">
        <v>65</v>
      </c>
      <c r="M66" s="64" t="s">
        <v>0</v>
      </c>
      <c r="N66" s="328"/>
      <c r="O66" s="329"/>
      <c r="P66" s="65" t="s">
        <v>8</v>
      </c>
    </row>
    <row r="67" spans="1:16" x14ac:dyDescent="0.25">
      <c r="A67" s="326"/>
      <c r="B67" s="327"/>
      <c r="C67" s="56"/>
      <c r="D67" s="66"/>
    </row>
    <row r="68" spans="1:16" x14ac:dyDescent="0.25">
      <c r="H68" s="324"/>
      <c r="I68" s="324"/>
      <c r="J68" s="324"/>
      <c r="K68" s="324"/>
      <c r="L68" s="324"/>
    </row>
    <row r="69" spans="1:16" x14ac:dyDescent="0.25">
      <c r="H69" s="323" t="s">
        <v>42</v>
      </c>
      <c r="I69" s="323"/>
      <c r="J69" s="323"/>
      <c r="K69" s="323"/>
      <c r="L69" s="323"/>
    </row>
    <row r="70" spans="1:16" x14ac:dyDescent="0.25">
      <c r="H70" s="67"/>
      <c r="I70" s="67"/>
      <c r="J70" s="67"/>
      <c r="K70" s="67"/>
      <c r="L70" s="67"/>
    </row>
    <row r="71" spans="1:16" x14ac:dyDescent="0.25">
      <c r="B71" s="324"/>
      <c r="C71" s="324"/>
      <c r="D71" s="324"/>
      <c r="H71" s="324"/>
      <c r="I71" s="324"/>
      <c r="J71" s="324"/>
      <c r="K71" s="324"/>
      <c r="L71" s="324"/>
    </row>
    <row r="72" spans="1:16" ht="13" x14ac:dyDescent="0.3">
      <c r="A72" s="68"/>
      <c r="B72" s="323" t="s">
        <v>44</v>
      </c>
      <c r="C72" s="323"/>
      <c r="D72" s="323"/>
      <c r="H72" s="323" t="s">
        <v>43</v>
      </c>
      <c r="I72" s="323"/>
      <c r="J72" s="323"/>
      <c r="K72" s="323"/>
      <c r="L72" s="323"/>
    </row>
    <row r="73" spans="1:16" x14ac:dyDescent="0.25"/>
    <row r="74" spans="1:16" x14ac:dyDescent="0.25"/>
    <row r="75" spans="1:16" x14ac:dyDescent="0.25">
      <c r="A75" s="69" t="s">
        <v>244</v>
      </c>
      <c r="B75" s="70"/>
      <c r="C75" s="70"/>
      <c r="D75" s="71"/>
    </row>
    <row r="76" spans="1:16" x14ac:dyDescent="0.25"/>
    <row r="77" spans="1:16" x14ac:dyDescent="0.25"/>
  </sheetData>
  <sheetProtection algorithmName="SHA-512" hashValue="np1XuujYae4HCHW5QSP4dQm/sD/uyCgsFcDOCORJIdCARxwK2eRwVglHCj8U5ln6WHfqZFYr0W25lBKJtcKTeQ==" saltValue="JTQs2oeTW3oC/ohk/IuvYw==" spinCount="100000" sheet="1" objects="1" scenarios="1"/>
  <mergeCells count="46">
    <mergeCell ref="N66:O66"/>
    <mergeCell ref="K22:L22"/>
    <mergeCell ref="D16:E16"/>
    <mergeCell ref="J61:L61"/>
    <mergeCell ref="G63:H63"/>
    <mergeCell ref="C38:D38"/>
    <mergeCell ref="C39:D39"/>
    <mergeCell ref="D19:E19"/>
    <mergeCell ref="K19:L19"/>
    <mergeCell ref="K20:L20"/>
    <mergeCell ref="D20:E20"/>
    <mergeCell ref="D21:E21"/>
    <mergeCell ref="K21:L21"/>
    <mergeCell ref="C33:D33"/>
    <mergeCell ref="C34:D34"/>
    <mergeCell ref="C29:D29"/>
    <mergeCell ref="D22:E22"/>
    <mergeCell ref="C30:D30"/>
    <mergeCell ref="C31:D31"/>
    <mergeCell ref="C32:D32"/>
    <mergeCell ref="A67:B67"/>
    <mergeCell ref="J63:K63"/>
    <mergeCell ref="I66:K66"/>
    <mergeCell ref="H69:L69"/>
    <mergeCell ref="H72:L72"/>
    <mergeCell ref="B72:D72"/>
    <mergeCell ref="H68:L68"/>
    <mergeCell ref="H71:L71"/>
    <mergeCell ref="B71:D71"/>
    <mergeCell ref="A6:M6"/>
    <mergeCell ref="K16:L16"/>
    <mergeCell ref="K17:L17"/>
    <mergeCell ref="K18:L18"/>
    <mergeCell ref="K12:P12"/>
    <mergeCell ref="A12:F12"/>
    <mergeCell ref="G12:J12"/>
    <mergeCell ref="D17:E17"/>
    <mergeCell ref="D18:E18"/>
    <mergeCell ref="L62:M62"/>
    <mergeCell ref="A59:M59"/>
    <mergeCell ref="C35:D35"/>
    <mergeCell ref="C37:D37"/>
    <mergeCell ref="C41:D41"/>
    <mergeCell ref="C42:D42"/>
    <mergeCell ref="I41:L41"/>
    <mergeCell ref="I42:L42"/>
  </mergeCells>
  <phoneticPr fontId="10" type="noConversion"/>
  <pageMargins left="0.3" right="0.18" top="0.36" bottom="0.35" header="0.25" footer="0.25"/>
  <pageSetup scale="84" orientation="portrait" r:id="rId1"/>
  <headerFooter alignWithMargins="0"/>
  <cellWatches>
    <cellWatch r="H43"/>
  </cellWatch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1CB02-3D51-4EB2-8F79-4ACC5265D635}">
  <sheetPr>
    <tabColor theme="7" tint="0.59999389629810485"/>
    <pageSetUpPr fitToPage="1"/>
  </sheetPr>
  <dimension ref="A1:U88"/>
  <sheetViews>
    <sheetView showGridLines="0" zoomScale="115" zoomScaleNormal="115" workbookViewId="0">
      <selection activeCell="S21" sqref="S21"/>
    </sheetView>
  </sheetViews>
  <sheetFormatPr defaultColWidth="0" defaultRowHeight="15.5" zeroHeight="1" x14ac:dyDescent="0.35"/>
  <cols>
    <col min="1" max="1" width="4.7265625" style="221" customWidth="1"/>
    <col min="2" max="2" width="1.26953125" style="221" customWidth="1"/>
    <col min="3" max="3" width="6.7265625" style="221" customWidth="1"/>
    <col min="4" max="4" width="11.54296875" style="221" customWidth="1"/>
    <col min="5" max="6" width="7.7265625" style="221" customWidth="1"/>
    <col min="7" max="7" width="6" style="221" customWidth="1"/>
    <col min="8" max="8" width="12" style="221" customWidth="1"/>
    <col min="9" max="9" width="16.26953125" style="221" customWidth="1"/>
    <col min="10" max="11" width="2.7265625" style="221" customWidth="1"/>
    <col min="12" max="12" width="7.7265625" style="221" customWidth="1"/>
    <col min="13" max="13" width="6" style="221" customWidth="1"/>
    <col min="14" max="14" width="4.453125" style="221" customWidth="1"/>
    <col min="15" max="15" width="5.7265625" style="221" customWidth="1"/>
    <col min="16" max="16" width="1.26953125" style="221" customWidth="1"/>
    <col min="17" max="17" width="3.453125" style="222" customWidth="1"/>
    <col min="18" max="18" width="28.26953125" style="222" bestFit="1" customWidth="1"/>
    <col min="19" max="19" width="36.81640625" style="222" customWidth="1"/>
    <col min="20" max="20" width="9.26953125" style="221" customWidth="1"/>
    <col min="21" max="21" width="9.26953125" style="221" hidden="1" customWidth="1"/>
    <col min="22" max="16384" width="0" style="221" hidden="1"/>
  </cols>
  <sheetData>
    <row r="1" spans="1:21" ht="12.4" customHeight="1" x14ac:dyDescent="0.35">
      <c r="U1" s="223"/>
    </row>
    <row r="2" spans="1:21" ht="6" customHeight="1" x14ac:dyDescent="0.35">
      <c r="B2" s="224"/>
      <c r="C2" s="224"/>
      <c r="D2" s="224"/>
      <c r="E2" s="224"/>
      <c r="F2" s="224"/>
      <c r="G2" s="224"/>
      <c r="H2" s="224"/>
      <c r="I2" s="224"/>
      <c r="J2" s="224"/>
      <c r="K2" s="224"/>
      <c r="L2" s="224"/>
      <c r="M2" s="224"/>
      <c r="N2" s="224"/>
      <c r="O2" s="224"/>
      <c r="P2" s="224"/>
      <c r="U2" s="223"/>
    </row>
    <row r="3" spans="1:21" ht="12.4" customHeight="1" x14ac:dyDescent="0.35">
      <c r="B3" s="224"/>
      <c r="P3" s="224"/>
      <c r="U3" s="223"/>
    </row>
    <row r="4" spans="1:21" ht="12.4" customHeight="1" x14ac:dyDescent="0.35">
      <c r="B4" s="224"/>
      <c r="C4" s="225"/>
      <c r="D4" s="331" t="s">
        <v>225</v>
      </c>
      <c r="E4" s="331"/>
      <c r="F4" s="331"/>
      <c r="G4" s="331"/>
      <c r="H4" s="331"/>
      <c r="I4" s="331"/>
      <c r="J4" s="331"/>
      <c r="K4" s="331"/>
      <c r="L4" s="331"/>
      <c r="M4" s="331"/>
      <c r="N4" s="225"/>
      <c r="P4" s="224"/>
    </row>
    <row r="5" spans="1:21" ht="12.4" customHeight="1" x14ac:dyDescent="0.35">
      <c r="A5" s="226"/>
      <c r="B5" s="224"/>
      <c r="C5" s="226"/>
      <c r="D5" s="331">
        <f>+S7</f>
        <v>0</v>
      </c>
      <c r="E5" s="331"/>
      <c r="F5" s="331"/>
      <c r="G5" s="331"/>
      <c r="H5" s="331"/>
      <c r="I5" s="331"/>
      <c r="J5" s="331"/>
      <c r="K5" s="331"/>
      <c r="L5" s="331"/>
      <c r="M5" s="331"/>
      <c r="N5" s="226"/>
      <c r="P5" s="224"/>
    </row>
    <row r="6" spans="1:21" x14ac:dyDescent="0.35">
      <c r="A6" s="227"/>
      <c r="B6" s="228"/>
      <c r="C6" s="227"/>
      <c r="D6" s="227"/>
      <c r="E6" s="227"/>
      <c r="F6" s="227"/>
      <c r="G6" s="227"/>
      <c r="H6" s="227"/>
      <c r="I6" s="227"/>
      <c r="J6" s="227"/>
      <c r="K6" s="227"/>
      <c r="L6" s="227"/>
      <c r="M6" s="227"/>
      <c r="N6" s="227"/>
      <c r="P6" s="224"/>
      <c r="R6" s="257" t="s">
        <v>226</v>
      </c>
      <c r="S6" s="221"/>
    </row>
    <row r="7" spans="1:21" ht="16" x14ac:dyDescent="0.35">
      <c r="B7" s="229"/>
      <c r="C7" s="230" t="s">
        <v>227</v>
      </c>
      <c r="D7" s="333" t="str">
        <f>"A public hearing to approve a proposed property tax levy increase for "&amp;S7&amp;" "</f>
        <v xml:space="preserve">A public hearing to approve a proposed property tax levy increase for  </v>
      </c>
      <c r="E7" s="333"/>
      <c r="F7" s="333"/>
      <c r="G7" s="333"/>
      <c r="H7" s="333"/>
      <c r="I7" s="333"/>
      <c r="J7" s="333"/>
      <c r="K7" s="333"/>
      <c r="L7" s="333"/>
      <c r="M7" s="333"/>
      <c r="N7" s="333"/>
      <c r="O7" s="333"/>
      <c r="P7" s="224"/>
      <c r="R7" s="254" t="s">
        <v>228</v>
      </c>
      <c r="S7" s="255"/>
    </row>
    <row r="8" spans="1:21" x14ac:dyDescent="0.35">
      <c r="B8" s="229"/>
      <c r="C8" s="232"/>
      <c r="D8" s="231" t="str">
        <f>IF(Input!$C$14=0,Input!$C$13&amp;" County",IF(Input!$C$15=0,Input!$C$13&amp;" and "&amp;Input!$C$14&amp;" Counties",IF(Input!$C$16=0,Input!$C$13&amp;", "&amp;Input!$C$14&amp;" and "&amp;Input!$C$15&amp;" Counties",Input!$C$13&amp;", "&amp;Input!$C$14&amp;", "&amp;Input!$C$15&amp;" and "&amp;Input!$C$16&amp;" Counties")))&amp;", Illinois for "&amp;Input!C9&amp;" "</f>
        <v xml:space="preserve"> County, Illinois for 2025 </v>
      </c>
      <c r="E8" s="231"/>
      <c r="F8" s="231"/>
      <c r="G8" s="231"/>
      <c r="H8" s="231"/>
      <c r="I8" s="231"/>
      <c r="J8" s="231"/>
      <c r="K8" s="231"/>
      <c r="L8" s="231"/>
      <c r="M8" s="231"/>
      <c r="N8" s="231"/>
      <c r="O8" s="231"/>
      <c r="P8" s="224"/>
      <c r="R8" s="254" t="s">
        <v>229</v>
      </c>
      <c r="S8" s="258"/>
      <c r="T8" s="233" t="str">
        <f>TEXT(S8,"mmmm dd, yyyy")</f>
        <v>January 00, 1900</v>
      </c>
    </row>
    <row r="9" spans="1:21" x14ac:dyDescent="0.35">
      <c r="A9" s="234"/>
      <c r="B9" s="229"/>
      <c r="C9" s="232"/>
      <c r="D9" s="235" t="str">
        <f>"will be held on "&amp;T8&amp;" at "&amp;$S$10&amp;", "&amp;$S$11&amp;", IL "&amp;S12&amp;" at "&amp;$S$9&amp;"."</f>
        <v>will be held on January 00, 1900 at , , IL  at .</v>
      </c>
      <c r="E9" s="231"/>
      <c r="F9" s="231"/>
      <c r="G9" s="231"/>
      <c r="H9" s="231"/>
      <c r="I9" s="231"/>
      <c r="J9" s="231"/>
      <c r="K9" s="231"/>
      <c r="L9" s="231"/>
      <c r="M9" s="231"/>
      <c r="N9" s="231"/>
      <c r="O9" s="231"/>
      <c r="P9" s="224"/>
      <c r="R9" s="254" t="s">
        <v>241</v>
      </c>
      <c r="S9" s="255"/>
    </row>
    <row r="10" spans="1:21" x14ac:dyDescent="0.35">
      <c r="A10" s="234"/>
      <c r="B10" s="229"/>
      <c r="C10" s="232"/>
      <c r="D10" s="231"/>
      <c r="E10" s="231"/>
      <c r="F10" s="231"/>
      <c r="G10" s="231"/>
      <c r="H10" s="231"/>
      <c r="I10" s="231"/>
      <c r="J10" s="231"/>
      <c r="K10" s="231"/>
      <c r="L10" s="231"/>
      <c r="M10" s="231"/>
      <c r="N10" s="231"/>
      <c r="O10" s="231"/>
      <c r="P10" s="224"/>
      <c r="R10" s="254" t="s">
        <v>230</v>
      </c>
      <c r="S10" s="255"/>
    </row>
    <row r="11" spans="1:21" x14ac:dyDescent="0.35">
      <c r="A11" s="234"/>
      <c r="B11" s="236"/>
      <c r="C11" s="232"/>
      <c r="D11" s="231"/>
      <c r="E11" s="231"/>
      <c r="F11" s="231"/>
      <c r="G11" s="231"/>
      <c r="H11" s="231"/>
      <c r="I11" s="231"/>
      <c r="J11" s="231"/>
      <c r="K11" s="231"/>
      <c r="L11" s="231"/>
      <c r="M11" s="231"/>
      <c r="N11" s="231"/>
      <c r="O11" s="231"/>
      <c r="P11" s="224"/>
      <c r="R11" s="254" t="s">
        <v>231</v>
      </c>
      <c r="S11" s="255"/>
    </row>
    <row r="12" spans="1:21" x14ac:dyDescent="0.35">
      <c r="B12" s="229"/>
      <c r="C12" s="232"/>
      <c r="D12" s="231" t="s">
        <v>232</v>
      </c>
      <c r="E12" s="231"/>
      <c r="F12" s="231"/>
      <c r="G12" s="231"/>
      <c r="H12" s="231"/>
      <c r="I12" s="231"/>
      <c r="J12" s="231"/>
      <c r="K12" s="231"/>
      <c r="L12" s="231"/>
      <c r="M12" s="231"/>
      <c r="N12" s="231"/>
      <c r="O12" s="231"/>
      <c r="P12" s="224"/>
      <c r="R12" s="254" t="s">
        <v>233</v>
      </c>
      <c r="S12" s="255"/>
      <c r="U12" s="223"/>
    </row>
    <row r="13" spans="1:21" x14ac:dyDescent="0.35">
      <c r="B13" s="229"/>
      <c r="C13" s="232"/>
      <c r="D13" s="1" t="str">
        <f>"district may contact "&amp;S14&amp;" at "&amp;S15&amp;"."</f>
        <v>district may contact  at .</v>
      </c>
      <c r="E13" s="231"/>
      <c r="F13" s="231"/>
      <c r="G13" s="231"/>
      <c r="H13" s="231"/>
      <c r="I13" s="231"/>
      <c r="J13" s="231"/>
      <c r="K13" s="231"/>
      <c r="L13" s="231"/>
      <c r="M13" s="231"/>
      <c r="N13" s="231"/>
      <c r="O13" s="231"/>
      <c r="P13" s="224"/>
      <c r="R13" s="254"/>
      <c r="S13" s="256"/>
      <c r="U13" s="223"/>
    </row>
    <row r="14" spans="1:21" x14ac:dyDescent="0.35">
      <c r="B14" s="229"/>
      <c r="C14" s="232"/>
      <c r="D14" s="231"/>
      <c r="E14" s="231"/>
      <c r="F14" s="231"/>
      <c r="G14" s="231"/>
      <c r="H14" s="231"/>
      <c r="I14" s="231"/>
      <c r="J14" s="231"/>
      <c r="K14" s="231"/>
      <c r="L14" s="231"/>
      <c r="M14" s="231"/>
      <c r="N14" s="231"/>
      <c r="O14" s="231"/>
      <c r="P14" s="224"/>
      <c r="R14" s="254" t="s">
        <v>234</v>
      </c>
      <c r="S14" s="255"/>
      <c r="U14" s="223"/>
    </row>
    <row r="15" spans="1:21" x14ac:dyDescent="0.35">
      <c r="B15" s="229"/>
      <c r="C15" s="232"/>
      <c r="D15" s="231"/>
      <c r="E15" s="231"/>
      <c r="F15" s="231"/>
      <c r="G15" s="231"/>
      <c r="H15" s="231"/>
      <c r="I15" s="231"/>
      <c r="J15" s="231"/>
      <c r="K15" s="231"/>
      <c r="L15" s="231"/>
      <c r="M15" s="231"/>
      <c r="N15" s="231"/>
      <c r="O15" s="231"/>
      <c r="P15" s="224"/>
      <c r="R15" s="254" t="s">
        <v>235</v>
      </c>
      <c r="S15" s="255"/>
      <c r="U15" s="223"/>
    </row>
    <row r="16" spans="1:21" x14ac:dyDescent="0.35">
      <c r="B16" s="229"/>
      <c r="C16" s="232"/>
      <c r="D16" s="231"/>
      <c r="E16" s="231"/>
      <c r="F16" s="231"/>
      <c r="G16" s="231"/>
      <c r="H16" s="231"/>
      <c r="I16" s="231"/>
      <c r="J16" s="231"/>
      <c r="K16" s="231"/>
      <c r="L16" s="231"/>
      <c r="M16" s="231"/>
      <c r="N16" s="231"/>
      <c r="O16" s="231"/>
      <c r="P16" s="224"/>
      <c r="R16" s="259" t="s">
        <v>240</v>
      </c>
      <c r="U16" s="223"/>
    </row>
    <row r="17" spans="2:21" x14ac:dyDescent="0.35">
      <c r="B17" s="229"/>
      <c r="C17" s="230" t="s">
        <v>236</v>
      </c>
      <c r="D17" s="231" t="str">
        <f>"The corporate and special purpose property taxes extended or abated for "&amp;Input!C9-"1 "&amp;" were"</f>
        <v>The corporate and special purpose property taxes extended or abated for 2024 were</v>
      </c>
      <c r="E17" s="231"/>
      <c r="F17" s="231"/>
      <c r="G17" s="231"/>
      <c r="H17" s="231"/>
      <c r="I17" s="231"/>
      <c r="J17" s="231"/>
      <c r="K17" s="231"/>
      <c r="L17" s="231"/>
      <c r="M17" s="231"/>
      <c r="N17" s="231"/>
      <c r="O17" s="231"/>
      <c r="P17" s="224"/>
      <c r="U17" s="223"/>
    </row>
    <row r="18" spans="2:21" x14ac:dyDescent="0.35">
      <c r="B18" s="229"/>
      <c r="C18" s="232"/>
      <c r="D18" s="237">
        <f>Input!$D$61</f>
        <v>0</v>
      </c>
      <c r="E18" s="231"/>
      <c r="F18" s="231"/>
      <c r="G18" s="231"/>
      <c r="H18" s="231"/>
      <c r="I18" s="231"/>
      <c r="J18" s="231"/>
      <c r="K18" s="231"/>
      <c r="L18" s="231"/>
      <c r="M18" s="231"/>
      <c r="N18" s="231"/>
      <c r="O18" s="231"/>
      <c r="P18" s="224"/>
      <c r="U18" s="223"/>
    </row>
    <row r="19" spans="2:21" x14ac:dyDescent="0.35">
      <c r="B19" s="229"/>
      <c r="C19" s="232"/>
      <c r="D19" s="237"/>
      <c r="E19" s="231"/>
      <c r="F19" s="231"/>
      <c r="G19" s="231"/>
      <c r="H19" s="231"/>
      <c r="I19" s="231"/>
      <c r="J19" s="231"/>
      <c r="K19" s="231"/>
      <c r="L19" s="231"/>
      <c r="M19" s="231"/>
      <c r="N19" s="231"/>
      <c r="O19" s="231"/>
      <c r="P19" s="224"/>
      <c r="U19" s="223"/>
    </row>
    <row r="20" spans="2:21" x14ac:dyDescent="0.35">
      <c r="B20" s="229"/>
      <c r="C20" s="232"/>
      <c r="D20" s="231"/>
      <c r="E20" s="231"/>
      <c r="F20" s="231"/>
      <c r="G20" s="231"/>
      <c r="H20" s="231"/>
      <c r="I20" s="231"/>
      <c r="J20" s="231"/>
      <c r="K20" s="231"/>
      <c r="L20" s="231"/>
      <c r="M20" s="231"/>
      <c r="N20" s="231"/>
      <c r="O20" s="231"/>
      <c r="P20" s="224"/>
      <c r="U20" s="223"/>
    </row>
    <row r="21" spans="2:21" x14ac:dyDescent="0.35">
      <c r="B21" s="224"/>
      <c r="C21" s="232"/>
      <c r="D21" s="231" t="str">
        <f>"The proposed corporate and special purposed property taxes to be levied for "&amp;Input!C9 &amp;" are"</f>
        <v>The proposed corporate and special purposed property taxes to be levied for 2025 are</v>
      </c>
      <c r="E21" s="231"/>
      <c r="F21" s="231"/>
      <c r="G21" s="231"/>
      <c r="H21" s="231"/>
      <c r="I21" s="231"/>
      <c r="J21" s="231"/>
      <c r="K21" s="231"/>
      <c r="L21" s="231"/>
      <c r="M21" s="231"/>
      <c r="N21" s="231"/>
      <c r="O21" s="231"/>
      <c r="P21" s="224"/>
      <c r="U21" s="223"/>
    </row>
    <row r="22" spans="2:21" x14ac:dyDescent="0.35">
      <c r="B22" s="224"/>
      <c r="C22" s="232"/>
      <c r="D22" s="237" t="e">
        <f>Calculations!$J$27</f>
        <v>#DIV/0!</v>
      </c>
      <c r="E22" s="332" t="e">
        <f>(D22-D18)/D18</f>
        <v>#DIV/0!</v>
      </c>
      <c r="F22" s="332"/>
      <c r="G22" s="332"/>
      <c r="H22" s="332"/>
      <c r="I22" s="332"/>
      <c r="J22" s="332"/>
      <c r="K22" s="332"/>
      <c r="L22" s="332"/>
      <c r="M22" s="231"/>
      <c r="N22" s="231"/>
      <c r="O22" s="231"/>
      <c r="P22" s="224"/>
      <c r="U22" s="223"/>
    </row>
    <row r="23" spans="2:21" x14ac:dyDescent="0.35">
      <c r="B23" s="224"/>
      <c r="C23" s="232"/>
      <c r="D23" s="237"/>
      <c r="E23" s="238"/>
      <c r="F23" s="238"/>
      <c r="G23" s="238"/>
      <c r="H23" s="238"/>
      <c r="I23" s="238"/>
      <c r="J23" s="238"/>
      <c r="K23" s="238"/>
      <c r="L23" s="238"/>
      <c r="M23" s="231"/>
      <c r="N23" s="231"/>
      <c r="O23" s="231"/>
      <c r="P23" s="224"/>
      <c r="U23" s="223"/>
    </row>
    <row r="24" spans="2:21" x14ac:dyDescent="0.35">
      <c r="B24" s="224"/>
      <c r="C24" s="232"/>
      <c r="D24" s="231"/>
      <c r="E24" s="231"/>
      <c r="F24" s="231"/>
      <c r="G24" s="231"/>
      <c r="H24" s="231"/>
      <c r="I24" s="231"/>
      <c r="J24" s="231"/>
      <c r="K24" s="231"/>
      <c r="L24" s="231"/>
      <c r="M24" s="231"/>
      <c r="N24" s="231"/>
      <c r="O24" s="231"/>
      <c r="P24" s="224"/>
      <c r="U24" s="223"/>
    </row>
    <row r="25" spans="2:21" x14ac:dyDescent="0.35">
      <c r="B25" s="224"/>
      <c r="C25" s="230" t="s">
        <v>237</v>
      </c>
      <c r="D25" s="231" t="str">
        <f>"The property taxes extended for debt services and public building commission leases for "&amp;Input!C9-"1 "&amp;" were"</f>
        <v>The property taxes extended for debt services and public building commission leases for 2024 were</v>
      </c>
      <c r="E25" s="231"/>
      <c r="F25" s="231"/>
      <c r="G25" s="231"/>
      <c r="H25" s="231"/>
      <c r="I25" s="231"/>
      <c r="J25" s="231"/>
      <c r="K25" s="231"/>
      <c r="L25" s="231"/>
      <c r="M25" s="231"/>
      <c r="N25" s="231"/>
      <c r="O25" s="231"/>
      <c r="P25" s="224"/>
      <c r="U25" s="223"/>
    </row>
    <row r="26" spans="2:21" x14ac:dyDescent="0.35">
      <c r="B26" s="224"/>
      <c r="C26" s="232"/>
      <c r="D26" s="237">
        <f>Input!$D$65</f>
        <v>0</v>
      </c>
      <c r="E26" s="231"/>
      <c r="F26" s="231"/>
      <c r="G26" s="231"/>
      <c r="H26" s="231"/>
      <c r="I26" s="231"/>
      <c r="J26" s="231"/>
      <c r="K26" s="231"/>
      <c r="L26" s="231"/>
      <c r="M26" s="231"/>
      <c r="N26" s="231"/>
      <c r="O26" s="231"/>
      <c r="P26" s="224"/>
      <c r="U26" s="223"/>
    </row>
    <row r="27" spans="2:21" x14ac:dyDescent="0.35">
      <c r="B27" s="224"/>
      <c r="C27" s="232"/>
      <c r="D27" s="237"/>
      <c r="E27" s="231"/>
      <c r="F27" s="231"/>
      <c r="G27" s="231"/>
      <c r="H27" s="231"/>
      <c r="I27" s="231"/>
      <c r="J27" s="231"/>
      <c r="K27" s="231"/>
      <c r="L27" s="231"/>
      <c r="M27" s="231"/>
      <c r="N27" s="231"/>
      <c r="O27" s="231"/>
      <c r="P27" s="224"/>
      <c r="U27" s="223"/>
    </row>
    <row r="28" spans="2:21" x14ac:dyDescent="0.35">
      <c r="B28" s="224"/>
      <c r="C28" s="232"/>
      <c r="D28" s="231"/>
      <c r="E28" s="231"/>
      <c r="F28" s="231"/>
      <c r="G28" s="231"/>
      <c r="H28" s="231"/>
      <c r="I28" s="231"/>
      <c r="J28" s="231"/>
      <c r="K28" s="231"/>
      <c r="L28" s="231"/>
      <c r="M28" s="231"/>
      <c r="N28" s="231"/>
      <c r="O28" s="231"/>
      <c r="P28" s="224"/>
      <c r="U28" s="223"/>
    </row>
    <row r="29" spans="2:21" x14ac:dyDescent="0.35">
      <c r="B29" s="224"/>
      <c r="C29" s="232"/>
      <c r="D29" s="231" t="str">
        <f>"The estimated property taxes to be levied for debt service and public building commission leases for "&amp;Input!C9 &amp;" are"</f>
        <v>The estimated property taxes to be levied for debt service and public building commission leases for 2025 are</v>
      </c>
      <c r="E29" s="231"/>
      <c r="F29" s="231"/>
      <c r="G29" s="231"/>
      <c r="H29" s="231"/>
      <c r="I29" s="231"/>
      <c r="J29" s="231"/>
      <c r="K29" s="231"/>
      <c r="L29" s="231"/>
      <c r="M29" s="231"/>
      <c r="N29" s="231"/>
      <c r="O29" s="231"/>
      <c r="P29" s="224"/>
      <c r="U29" s="223"/>
    </row>
    <row r="30" spans="2:21" x14ac:dyDescent="0.35">
      <c r="B30" s="224"/>
      <c r="C30" s="232"/>
      <c r="D30" s="237">
        <f>Calculations!$J$33</f>
        <v>0</v>
      </c>
      <c r="E30" s="231"/>
      <c r="F30" s="231"/>
      <c r="G30" s="231"/>
      <c r="H30" s="231"/>
      <c r="I30" s="231"/>
      <c r="J30" s="231"/>
      <c r="K30" s="231"/>
      <c r="L30" s="231"/>
      <c r="M30" s="231"/>
      <c r="N30" s="231"/>
      <c r="O30" s="231"/>
      <c r="P30" s="224"/>
      <c r="U30" s="223"/>
    </row>
    <row r="31" spans="2:21" x14ac:dyDescent="0.35">
      <c r="B31" s="224"/>
      <c r="C31" s="232"/>
      <c r="D31" s="237"/>
      <c r="E31" s="231"/>
      <c r="F31" s="231"/>
      <c r="G31" s="231"/>
      <c r="H31" s="231"/>
      <c r="I31" s="231"/>
      <c r="J31" s="231"/>
      <c r="K31" s="231"/>
      <c r="L31" s="231"/>
      <c r="M31" s="231"/>
      <c r="N31" s="231"/>
      <c r="O31" s="231"/>
      <c r="P31" s="224"/>
      <c r="U31" s="223"/>
    </row>
    <row r="32" spans="2:21" x14ac:dyDescent="0.35">
      <c r="B32" s="224"/>
      <c r="C32" s="232"/>
      <c r="D32" s="231"/>
      <c r="E32" s="231"/>
      <c r="F32" s="231"/>
      <c r="G32" s="231"/>
      <c r="H32" s="231"/>
      <c r="I32" s="231"/>
      <c r="J32" s="231"/>
      <c r="K32" s="231"/>
      <c r="L32" s="231"/>
      <c r="M32" s="231"/>
      <c r="N32" s="231"/>
      <c r="O32" s="231"/>
      <c r="P32" s="224"/>
      <c r="U32" s="223"/>
    </row>
    <row r="33" spans="2:21" x14ac:dyDescent="0.35">
      <c r="B33" s="224"/>
      <c r="C33" s="230" t="s">
        <v>238</v>
      </c>
      <c r="D33" s="231" t="str">
        <f>"The total property taxes extended or abated for "&amp;Input!C9-"1 "&amp;" were"</f>
        <v>The total property taxes extended or abated for 2024 were</v>
      </c>
      <c r="E33" s="231"/>
      <c r="F33" s="231"/>
      <c r="G33" s="231"/>
      <c r="H33" s="231"/>
      <c r="I33" s="231"/>
      <c r="J33" s="231"/>
      <c r="K33" s="231"/>
      <c r="L33" s="231"/>
      <c r="M33" s="231"/>
      <c r="N33" s="231"/>
      <c r="O33" s="231"/>
      <c r="P33" s="224"/>
      <c r="U33" s="223"/>
    </row>
    <row r="34" spans="2:21" x14ac:dyDescent="0.35">
      <c r="B34" s="224"/>
      <c r="C34" s="231"/>
      <c r="D34" s="237">
        <f>D18+D26</f>
        <v>0</v>
      </c>
      <c r="E34" s="231"/>
      <c r="F34" s="231"/>
      <c r="G34" s="231"/>
      <c r="H34" s="231"/>
      <c r="I34" s="231"/>
      <c r="J34" s="231"/>
      <c r="K34" s="231"/>
      <c r="L34" s="231"/>
      <c r="M34" s="231"/>
      <c r="N34" s="231"/>
      <c r="O34" s="231"/>
      <c r="P34" s="224"/>
      <c r="U34" s="223"/>
    </row>
    <row r="35" spans="2:21" x14ac:dyDescent="0.35">
      <c r="B35" s="224"/>
      <c r="C35" s="231"/>
      <c r="D35" s="231"/>
      <c r="E35" s="231"/>
      <c r="F35" s="231"/>
      <c r="G35" s="231"/>
      <c r="H35" s="231"/>
      <c r="I35" s="231"/>
      <c r="J35" s="231"/>
      <c r="K35" s="231"/>
      <c r="L35" s="231"/>
      <c r="M35" s="231"/>
      <c r="N35" s="231"/>
      <c r="O35" s="231"/>
      <c r="P35" s="224"/>
      <c r="U35" s="223"/>
    </row>
    <row r="36" spans="2:21" x14ac:dyDescent="0.35">
      <c r="B36" s="224"/>
      <c r="C36" s="231"/>
      <c r="D36" s="231" t="str">
        <f>"The estimated total property taxes to be levied for "&amp;Input!C9 &amp;" are"</f>
        <v>The estimated total property taxes to be levied for 2025 are</v>
      </c>
      <c r="E36" s="231"/>
      <c r="F36" s="231"/>
      <c r="G36" s="231"/>
      <c r="H36" s="231"/>
      <c r="I36" s="231"/>
      <c r="J36" s="231"/>
      <c r="K36" s="231"/>
      <c r="L36" s="231"/>
      <c r="M36" s="231"/>
      <c r="N36" s="231"/>
      <c r="O36" s="231"/>
      <c r="P36" s="224"/>
      <c r="U36" s="223"/>
    </row>
    <row r="37" spans="2:21" x14ac:dyDescent="0.35">
      <c r="B37" s="224"/>
      <c r="C37" s="231"/>
      <c r="D37" s="237" t="e">
        <f>D30+D22</f>
        <v>#DIV/0!</v>
      </c>
      <c r="E37" s="332" t="e">
        <f>(D37-D34)/D34</f>
        <v>#DIV/0!</v>
      </c>
      <c r="F37" s="332"/>
      <c r="G37" s="332"/>
      <c r="H37" s="332"/>
      <c r="I37" s="332"/>
      <c r="J37" s="332"/>
      <c r="K37" s="332"/>
      <c r="L37" s="332"/>
      <c r="M37" s="231"/>
      <c r="N37" s="231"/>
      <c r="O37" s="231"/>
      <c r="P37" s="224"/>
      <c r="U37" s="223"/>
    </row>
    <row r="38" spans="2:21" x14ac:dyDescent="0.35">
      <c r="B38" s="224"/>
      <c r="C38" s="231"/>
      <c r="D38" s="237"/>
      <c r="E38" s="238"/>
      <c r="F38" s="238"/>
      <c r="G38" s="238"/>
      <c r="H38" s="238"/>
      <c r="I38" s="238"/>
      <c r="J38" s="238"/>
      <c r="K38" s="238"/>
      <c r="L38" s="238"/>
      <c r="M38" s="231"/>
      <c r="N38" s="231"/>
      <c r="O38" s="231"/>
      <c r="P38" s="224"/>
      <c r="U38" s="223"/>
    </row>
    <row r="39" spans="2:21" x14ac:dyDescent="0.35">
      <c r="B39" s="224"/>
      <c r="C39" s="231"/>
      <c r="D39" s="237"/>
      <c r="E39" s="238"/>
      <c r="F39" s="238"/>
      <c r="G39" s="238"/>
      <c r="H39" s="238"/>
      <c r="I39" s="238"/>
      <c r="J39" s="238"/>
      <c r="K39" s="238"/>
      <c r="L39" s="238"/>
      <c r="M39" s="231"/>
      <c r="N39" s="231"/>
      <c r="O39" s="231"/>
      <c r="P39" s="224"/>
      <c r="U39" s="223"/>
    </row>
    <row r="40" spans="2:21" x14ac:dyDescent="0.35">
      <c r="B40" s="224"/>
      <c r="C40" s="231"/>
      <c r="D40" s="237"/>
      <c r="E40" s="238"/>
      <c r="F40" s="238"/>
      <c r="G40" s="238"/>
      <c r="H40" s="238"/>
      <c r="I40" s="238"/>
      <c r="J40" s="238"/>
      <c r="K40" s="238"/>
      <c r="L40" s="238"/>
      <c r="M40" s="231"/>
      <c r="N40" s="231"/>
      <c r="O40" s="231"/>
      <c r="P40" s="224"/>
      <c r="U40" s="223"/>
    </row>
    <row r="41" spans="2:21" x14ac:dyDescent="0.35">
      <c r="B41" s="224"/>
      <c r="C41" s="231"/>
      <c r="D41" s="237"/>
      <c r="E41" s="238"/>
      <c r="F41" s="238"/>
      <c r="G41" s="238"/>
      <c r="H41" s="238"/>
      <c r="I41" s="238"/>
      <c r="J41" s="238"/>
      <c r="K41" s="238"/>
      <c r="L41" s="238"/>
      <c r="M41" s="231"/>
      <c r="N41" s="231"/>
      <c r="O41" s="231"/>
      <c r="P41" s="224"/>
      <c r="U41" s="223"/>
    </row>
    <row r="42" spans="2:21" x14ac:dyDescent="0.35">
      <c r="B42" s="224"/>
      <c r="C42" s="231"/>
      <c r="D42" s="237"/>
      <c r="E42" s="238"/>
      <c r="F42" s="238"/>
      <c r="G42" s="238"/>
      <c r="H42" s="238"/>
      <c r="I42" s="238"/>
      <c r="J42" s="238"/>
      <c r="K42" s="238"/>
      <c r="L42" s="238"/>
      <c r="M42" s="231"/>
      <c r="N42" s="231"/>
      <c r="O42" s="231"/>
      <c r="P42" s="224"/>
      <c r="U42" s="223"/>
    </row>
    <row r="43" spans="2:21" x14ac:dyDescent="0.35">
      <c r="B43" s="224"/>
      <c r="C43" s="231"/>
      <c r="D43" s="237"/>
      <c r="E43" s="238"/>
      <c r="F43" s="238"/>
      <c r="G43" s="238"/>
      <c r="H43" s="238"/>
      <c r="I43" s="238"/>
      <c r="J43" s="238"/>
      <c r="K43" s="238"/>
      <c r="L43" s="238"/>
      <c r="M43" s="231"/>
      <c r="N43" s="231"/>
      <c r="O43" s="231"/>
      <c r="P43" s="224"/>
      <c r="U43" s="223"/>
    </row>
    <row r="44" spans="2:21" x14ac:dyDescent="0.35">
      <c r="B44" s="224"/>
      <c r="C44" s="231"/>
      <c r="D44" s="237"/>
      <c r="E44" s="238"/>
      <c r="F44" s="238"/>
      <c r="G44" s="238"/>
      <c r="H44" s="238"/>
      <c r="I44" s="238"/>
      <c r="J44" s="238"/>
      <c r="K44" s="238"/>
      <c r="L44" s="238"/>
      <c r="M44" s="231"/>
      <c r="N44" s="231"/>
      <c r="O44" s="231"/>
      <c r="P44" s="224"/>
      <c r="U44" s="223"/>
    </row>
    <row r="45" spans="2:21" x14ac:dyDescent="0.35">
      <c r="B45" s="224"/>
      <c r="C45" s="231"/>
      <c r="D45" s="237"/>
      <c r="E45" s="238"/>
      <c r="F45" s="238"/>
      <c r="G45" s="238"/>
      <c r="H45" s="238"/>
      <c r="I45" s="238"/>
      <c r="J45" s="238"/>
      <c r="K45" s="238"/>
      <c r="L45" s="238"/>
      <c r="M45" s="231"/>
      <c r="N45" s="231"/>
      <c r="O45" s="231"/>
      <c r="P45" s="224"/>
      <c r="U45" s="223"/>
    </row>
    <row r="46" spans="2:21" x14ac:dyDescent="0.35">
      <c r="B46" s="224"/>
      <c r="C46" s="231"/>
      <c r="D46" s="237"/>
      <c r="E46" s="238"/>
      <c r="F46" s="238"/>
      <c r="G46" s="238"/>
      <c r="H46" s="238"/>
      <c r="I46" s="238"/>
      <c r="J46" s="238"/>
      <c r="K46" s="238"/>
      <c r="L46" s="238"/>
      <c r="M46" s="231"/>
      <c r="N46" s="231"/>
      <c r="O46" s="231"/>
      <c r="P46" s="224"/>
      <c r="U46" s="223"/>
    </row>
    <row r="47" spans="2:21" x14ac:dyDescent="0.35">
      <c r="B47" s="224"/>
      <c r="C47" s="231"/>
      <c r="D47" s="237"/>
      <c r="E47" s="238"/>
      <c r="F47" s="238"/>
      <c r="G47" s="238"/>
      <c r="H47" s="238"/>
      <c r="I47" s="238"/>
      <c r="J47" s="238"/>
      <c r="K47" s="238"/>
      <c r="L47" s="238"/>
      <c r="M47" s="231"/>
      <c r="N47" s="231"/>
      <c r="O47" s="231"/>
      <c r="P47" s="224"/>
      <c r="U47" s="223"/>
    </row>
    <row r="48" spans="2:21" x14ac:dyDescent="0.35">
      <c r="B48" s="224"/>
      <c r="C48" s="231"/>
      <c r="D48" s="237"/>
      <c r="E48" s="238"/>
      <c r="F48" s="238"/>
      <c r="G48" s="238"/>
      <c r="H48" s="238"/>
      <c r="I48" s="238"/>
      <c r="J48" s="238"/>
      <c r="K48" s="238"/>
      <c r="L48" s="238"/>
      <c r="M48" s="231"/>
      <c r="N48" s="231"/>
      <c r="O48" s="231"/>
      <c r="P48" s="224"/>
      <c r="U48" s="223"/>
    </row>
    <row r="49" spans="1:21" x14ac:dyDescent="0.35">
      <c r="B49" s="224"/>
      <c r="C49" s="231"/>
      <c r="D49" s="231"/>
      <c r="E49" s="231"/>
      <c r="F49" s="231"/>
      <c r="G49" s="231"/>
      <c r="H49" s="231"/>
      <c r="I49" s="231"/>
      <c r="J49" s="231"/>
      <c r="K49" s="231"/>
      <c r="L49" s="231"/>
      <c r="M49" s="231"/>
      <c r="N49" s="231"/>
      <c r="O49" s="231"/>
      <c r="P49" s="224"/>
      <c r="U49" s="223"/>
    </row>
    <row r="50" spans="1:21" ht="6" customHeight="1" x14ac:dyDescent="0.35">
      <c r="B50" s="224"/>
      <c r="C50" s="239"/>
      <c r="D50" s="239"/>
      <c r="E50" s="239"/>
      <c r="F50" s="239"/>
      <c r="G50" s="239"/>
      <c r="H50" s="239"/>
      <c r="I50" s="239"/>
      <c r="J50" s="239"/>
      <c r="K50" s="239"/>
      <c r="L50" s="239"/>
      <c r="M50" s="239"/>
      <c r="N50" s="239"/>
      <c r="O50" s="239"/>
      <c r="P50" s="224"/>
      <c r="U50" s="223"/>
    </row>
    <row r="51" spans="1:21" x14ac:dyDescent="0.35">
      <c r="C51" s="231"/>
      <c r="D51" s="231"/>
      <c r="E51" s="231"/>
      <c r="F51" s="231"/>
      <c r="G51" s="231"/>
      <c r="H51" s="231"/>
      <c r="I51" s="231"/>
      <c r="J51" s="231"/>
      <c r="K51" s="231"/>
      <c r="L51" s="231"/>
      <c r="M51" s="231"/>
      <c r="N51" s="231"/>
      <c r="O51" s="231"/>
      <c r="U51" s="223"/>
    </row>
    <row r="52" spans="1:21" hidden="1" x14ac:dyDescent="0.35">
      <c r="A52" s="223"/>
      <c r="B52" s="223"/>
      <c r="C52" s="240"/>
      <c r="D52" s="240"/>
      <c r="E52" s="240"/>
      <c r="F52" s="240"/>
      <c r="G52" s="240"/>
      <c r="H52" s="240"/>
      <c r="I52" s="240"/>
      <c r="J52" s="240"/>
      <c r="K52" s="240"/>
      <c r="L52" s="240"/>
      <c r="M52" s="240"/>
      <c r="N52" s="240"/>
      <c r="O52" s="240"/>
      <c r="P52" s="223"/>
      <c r="Q52" s="241"/>
      <c r="R52" s="241"/>
      <c r="S52" s="241"/>
      <c r="T52" s="223"/>
      <c r="U52" s="223"/>
    </row>
    <row r="53" spans="1:21" hidden="1" x14ac:dyDescent="0.35">
      <c r="A53" s="223"/>
      <c r="B53" s="223"/>
      <c r="C53" s="240"/>
      <c r="D53" s="240"/>
      <c r="E53" s="240"/>
      <c r="F53" s="240"/>
      <c r="G53" s="240"/>
      <c r="H53" s="240"/>
      <c r="I53" s="240"/>
      <c r="J53" s="240"/>
      <c r="K53" s="240"/>
      <c r="L53" s="240"/>
      <c r="M53" s="240"/>
      <c r="N53" s="240"/>
      <c r="O53" s="240"/>
      <c r="P53" s="223"/>
      <c r="Q53" s="241"/>
      <c r="R53" s="241"/>
      <c r="S53" s="241"/>
      <c r="T53" s="223"/>
      <c r="U53" s="223"/>
    </row>
    <row r="54" spans="1:21" hidden="1" x14ac:dyDescent="0.35">
      <c r="A54" s="223"/>
      <c r="B54" s="223"/>
      <c r="C54" s="240"/>
      <c r="D54" s="240"/>
      <c r="E54" s="240"/>
      <c r="F54" s="240"/>
      <c r="G54" s="240"/>
      <c r="H54" s="240"/>
      <c r="I54" s="240"/>
      <c r="J54" s="240"/>
      <c r="K54" s="240"/>
      <c r="L54" s="240"/>
      <c r="M54" s="240"/>
      <c r="N54" s="240"/>
      <c r="O54" s="240"/>
      <c r="P54" s="223"/>
      <c r="Q54" s="241"/>
      <c r="R54" s="241"/>
      <c r="S54" s="241"/>
      <c r="T54" s="223"/>
      <c r="U54" s="223"/>
    </row>
    <row r="55" spans="1:21" hidden="1" x14ac:dyDescent="0.35">
      <c r="A55" s="223"/>
      <c r="B55" s="223"/>
      <c r="C55" s="240"/>
      <c r="D55" s="240"/>
      <c r="E55" s="240"/>
      <c r="F55" s="240"/>
      <c r="G55" s="240"/>
      <c r="H55" s="240"/>
      <c r="I55" s="240"/>
      <c r="J55" s="240"/>
      <c r="K55" s="240"/>
      <c r="L55" s="240"/>
      <c r="M55" s="240"/>
      <c r="N55" s="240"/>
      <c r="O55" s="240"/>
      <c r="P55" s="223"/>
      <c r="Q55" s="241"/>
      <c r="R55" s="241"/>
      <c r="S55" s="241"/>
      <c r="T55" s="223"/>
      <c r="U55" s="223"/>
    </row>
    <row r="56" spans="1:21" hidden="1" x14ac:dyDescent="0.35">
      <c r="A56" s="223"/>
      <c r="B56" s="223"/>
      <c r="C56" s="240"/>
      <c r="D56" s="240"/>
      <c r="E56" s="240"/>
      <c r="F56" s="240"/>
      <c r="G56" s="240"/>
      <c r="H56" s="240"/>
      <c r="I56" s="240"/>
      <c r="J56" s="240"/>
      <c r="K56" s="240"/>
      <c r="L56" s="240"/>
      <c r="M56" s="240"/>
      <c r="N56" s="240"/>
      <c r="O56" s="240"/>
      <c r="P56" s="223"/>
      <c r="Q56" s="241"/>
      <c r="R56" s="241"/>
      <c r="S56" s="241"/>
      <c r="T56" s="223"/>
      <c r="U56" s="223"/>
    </row>
    <row r="57" spans="1:21" hidden="1" x14ac:dyDescent="0.35">
      <c r="A57" s="223"/>
      <c r="B57" s="223"/>
      <c r="C57" s="240"/>
      <c r="D57" s="240"/>
      <c r="E57" s="240"/>
      <c r="F57" s="240"/>
      <c r="G57" s="240"/>
      <c r="H57" s="240"/>
      <c r="I57" s="240"/>
      <c r="J57" s="240"/>
      <c r="K57" s="240"/>
      <c r="L57" s="240"/>
      <c r="M57" s="240"/>
      <c r="N57" s="240"/>
      <c r="O57" s="240"/>
      <c r="P57" s="223"/>
      <c r="Q57" s="241"/>
      <c r="R57" s="241"/>
      <c r="S57" s="241"/>
      <c r="T57" s="223"/>
      <c r="U57" s="223"/>
    </row>
    <row r="58" spans="1:21" hidden="1" x14ac:dyDescent="0.35">
      <c r="A58" s="223"/>
      <c r="B58" s="223"/>
      <c r="C58" s="240"/>
      <c r="D58" s="240"/>
      <c r="E58" s="240"/>
      <c r="F58" s="240"/>
      <c r="G58" s="240"/>
      <c r="H58" s="240"/>
      <c r="I58" s="240"/>
      <c r="J58" s="240"/>
      <c r="K58" s="240"/>
      <c r="L58" s="240"/>
      <c r="M58" s="240"/>
      <c r="N58" s="240"/>
      <c r="O58" s="240"/>
      <c r="P58" s="223"/>
      <c r="Q58" s="241"/>
      <c r="R58" s="241"/>
      <c r="S58" s="241"/>
      <c r="T58" s="223"/>
      <c r="U58" s="223"/>
    </row>
    <row r="59" spans="1:21" hidden="1" x14ac:dyDescent="0.35">
      <c r="A59" s="223"/>
      <c r="B59" s="223"/>
      <c r="C59" s="240"/>
      <c r="D59" s="240"/>
      <c r="E59" s="240"/>
      <c r="F59" s="240"/>
      <c r="G59" s="240"/>
      <c r="H59" s="240"/>
      <c r="I59" s="240"/>
      <c r="J59" s="240"/>
      <c r="K59" s="240"/>
      <c r="L59" s="240"/>
      <c r="M59" s="240"/>
      <c r="N59" s="240"/>
      <c r="O59" s="240"/>
      <c r="P59" s="223"/>
      <c r="Q59" s="241"/>
      <c r="R59" s="241"/>
      <c r="S59" s="241"/>
      <c r="T59" s="223"/>
      <c r="U59" s="223"/>
    </row>
    <row r="60" spans="1:21" hidden="1" x14ac:dyDescent="0.35">
      <c r="A60" s="223"/>
      <c r="B60" s="223"/>
      <c r="C60" s="240"/>
      <c r="D60" s="240"/>
      <c r="E60" s="240"/>
      <c r="F60" s="240"/>
      <c r="G60" s="240"/>
      <c r="H60" s="240"/>
      <c r="I60" s="240"/>
      <c r="J60" s="240"/>
      <c r="K60" s="240"/>
      <c r="L60" s="240"/>
      <c r="M60" s="240"/>
      <c r="N60" s="240"/>
      <c r="O60" s="240"/>
      <c r="P60" s="223"/>
      <c r="Q60" s="241"/>
      <c r="R60" s="241"/>
      <c r="S60" s="241"/>
      <c r="T60" s="223"/>
      <c r="U60" s="223"/>
    </row>
    <row r="61" spans="1:21" hidden="1" x14ac:dyDescent="0.35">
      <c r="A61" s="223"/>
      <c r="B61" s="223"/>
      <c r="C61" s="240"/>
      <c r="D61" s="240"/>
      <c r="E61" s="240"/>
      <c r="F61" s="240"/>
      <c r="G61" s="240"/>
      <c r="H61" s="240"/>
      <c r="I61" s="240"/>
      <c r="J61" s="240"/>
      <c r="K61" s="240"/>
      <c r="L61" s="240"/>
      <c r="M61" s="240"/>
      <c r="N61" s="240"/>
      <c r="O61" s="240"/>
      <c r="P61" s="223"/>
      <c r="Q61" s="241"/>
      <c r="R61" s="241"/>
      <c r="S61" s="241"/>
      <c r="T61" s="223"/>
      <c r="U61" s="223"/>
    </row>
    <row r="62" spans="1:21" ht="10.15" hidden="1" customHeight="1" x14ac:dyDescent="0.35">
      <c r="A62" s="223"/>
      <c r="B62" s="223"/>
      <c r="C62" s="240"/>
      <c r="D62" s="240"/>
      <c r="E62" s="240"/>
      <c r="F62" s="240"/>
      <c r="G62" s="240"/>
      <c r="H62" s="240"/>
      <c r="I62" s="240"/>
      <c r="J62" s="240"/>
      <c r="K62" s="240"/>
      <c r="L62" s="240"/>
      <c r="M62" s="240"/>
      <c r="N62" s="240"/>
      <c r="O62" s="240"/>
      <c r="P62" s="223"/>
      <c r="Q62" s="241"/>
      <c r="R62" s="241"/>
      <c r="S62" s="241"/>
      <c r="T62" s="223"/>
      <c r="U62" s="223"/>
    </row>
    <row r="63" spans="1:21" ht="10.9" hidden="1" customHeight="1" x14ac:dyDescent="0.35">
      <c r="A63" s="223"/>
      <c r="B63" s="223"/>
      <c r="C63" s="240"/>
      <c r="D63" s="240"/>
      <c r="E63" s="240"/>
      <c r="F63" s="240"/>
      <c r="G63" s="240"/>
      <c r="H63" s="240"/>
      <c r="I63" s="240"/>
      <c r="J63" s="240"/>
      <c r="K63" s="240"/>
      <c r="L63" s="240"/>
      <c r="M63" s="240"/>
      <c r="N63" s="240"/>
      <c r="O63" s="240"/>
      <c r="P63" s="223"/>
      <c r="Q63" s="241"/>
      <c r="R63" s="241"/>
      <c r="S63" s="241"/>
      <c r="T63" s="223"/>
      <c r="U63" s="223"/>
    </row>
    <row r="64" spans="1:21" ht="10.9" hidden="1" customHeight="1" x14ac:dyDescent="0.35">
      <c r="A64" s="223"/>
      <c r="B64" s="223"/>
      <c r="C64" s="240"/>
      <c r="D64" s="240"/>
      <c r="E64" s="240"/>
      <c r="F64" s="240"/>
      <c r="G64" s="240"/>
      <c r="H64" s="240"/>
      <c r="I64" s="240"/>
      <c r="J64" s="240"/>
      <c r="K64" s="240"/>
      <c r="L64" s="240"/>
      <c r="M64" s="240"/>
      <c r="N64" s="240"/>
      <c r="O64" s="240"/>
      <c r="P64" s="223"/>
      <c r="Q64" s="241"/>
      <c r="R64" s="241"/>
      <c r="S64" s="241"/>
      <c r="T64" s="223"/>
      <c r="U64" s="223"/>
    </row>
    <row r="65" spans="1:21" ht="10.9" hidden="1" customHeight="1" x14ac:dyDescent="0.35">
      <c r="A65" s="223"/>
      <c r="B65" s="223"/>
      <c r="C65" s="240"/>
      <c r="D65" s="240"/>
      <c r="E65" s="240"/>
      <c r="F65" s="240"/>
      <c r="G65" s="240"/>
      <c r="H65" s="240"/>
      <c r="I65" s="240"/>
      <c r="J65" s="240"/>
      <c r="K65" s="240"/>
      <c r="L65" s="240"/>
      <c r="M65" s="240"/>
      <c r="N65" s="240"/>
      <c r="O65" s="240"/>
      <c r="P65" s="223"/>
      <c r="Q65" s="241"/>
      <c r="R65" s="241"/>
      <c r="S65" s="241"/>
      <c r="T65" s="223"/>
      <c r="U65" s="223"/>
    </row>
    <row r="66" spans="1:21" ht="6" hidden="1" customHeight="1" x14ac:dyDescent="0.35">
      <c r="A66" s="223"/>
      <c r="B66" s="223"/>
      <c r="C66" s="240"/>
      <c r="D66" s="240"/>
      <c r="E66" s="240"/>
      <c r="F66" s="240"/>
      <c r="G66" s="240"/>
      <c r="H66" s="240"/>
      <c r="I66" s="240"/>
      <c r="J66" s="240"/>
      <c r="K66" s="240"/>
      <c r="L66" s="240"/>
      <c r="M66" s="240"/>
      <c r="N66" s="240"/>
      <c r="O66" s="240"/>
      <c r="P66" s="223"/>
      <c r="Q66" s="241"/>
      <c r="R66" s="241"/>
      <c r="S66" s="241"/>
      <c r="T66" s="223"/>
      <c r="U66" s="223"/>
    </row>
    <row r="67" spans="1:21" hidden="1" x14ac:dyDescent="0.35">
      <c r="A67" s="223"/>
      <c r="B67" s="223"/>
      <c r="C67" s="240"/>
      <c r="D67" s="240"/>
      <c r="E67" s="240"/>
      <c r="F67" s="240"/>
      <c r="G67" s="240"/>
      <c r="H67" s="240"/>
      <c r="I67" s="240"/>
      <c r="J67" s="240"/>
      <c r="K67" s="240"/>
      <c r="L67" s="240"/>
      <c r="M67" s="240"/>
      <c r="N67" s="240"/>
      <c r="O67" s="240"/>
      <c r="P67" s="223"/>
      <c r="Q67" s="241"/>
      <c r="R67" s="241"/>
      <c r="S67" s="241"/>
      <c r="T67" s="223"/>
      <c r="U67" s="223"/>
    </row>
    <row r="68" spans="1:21" ht="6.75" hidden="1" customHeight="1" x14ac:dyDescent="0.35">
      <c r="A68" s="223"/>
      <c r="B68" s="223"/>
      <c r="C68" s="240"/>
      <c r="D68" s="240"/>
      <c r="E68" s="240"/>
      <c r="F68" s="240"/>
      <c r="G68" s="240"/>
      <c r="H68" s="240"/>
      <c r="I68" s="240"/>
      <c r="J68" s="240"/>
      <c r="K68" s="240"/>
      <c r="L68" s="240"/>
      <c r="M68" s="240"/>
      <c r="N68" s="240"/>
      <c r="O68" s="240"/>
      <c r="P68" s="223"/>
      <c r="Q68" s="241"/>
      <c r="R68" s="241"/>
      <c r="S68" s="241"/>
      <c r="T68" s="223"/>
      <c r="U68" s="223"/>
    </row>
    <row r="69" spans="1:21" ht="8.25" hidden="1" customHeight="1" x14ac:dyDescent="0.35">
      <c r="A69" s="223"/>
      <c r="B69" s="223"/>
      <c r="C69" s="240"/>
      <c r="D69" s="240"/>
      <c r="E69" s="240"/>
      <c r="F69" s="240"/>
      <c r="G69" s="240"/>
      <c r="H69" s="240"/>
      <c r="I69" s="240"/>
      <c r="J69" s="240"/>
      <c r="K69" s="240"/>
      <c r="L69" s="240"/>
      <c r="M69" s="240"/>
      <c r="N69" s="240"/>
      <c r="O69" s="240"/>
      <c r="P69" s="223"/>
      <c r="Q69" s="241"/>
      <c r="R69" s="241"/>
      <c r="S69" s="241"/>
      <c r="T69" s="223"/>
      <c r="U69" s="223"/>
    </row>
    <row r="70" spans="1:21" hidden="1" x14ac:dyDescent="0.35">
      <c r="A70" s="223"/>
      <c r="B70" s="223"/>
      <c r="C70" s="240"/>
      <c r="D70" s="240"/>
      <c r="E70" s="240"/>
      <c r="F70" s="240"/>
      <c r="G70" s="240"/>
      <c r="H70" s="240"/>
      <c r="I70" s="240"/>
      <c r="J70" s="240"/>
      <c r="K70" s="240"/>
      <c r="L70" s="240"/>
      <c r="M70" s="240"/>
      <c r="N70" s="240"/>
      <c r="O70" s="240"/>
      <c r="P70" s="223"/>
      <c r="Q70" s="241"/>
      <c r="R70" s="241"/>
      <c r="S70" s="241"/>
      <c r="T70" s="223"/>
      <c r="U70" s="223"/>
    </row>
    <row r="71" spans="1:21" hidden="1" x14ac:dyDescent="0.35">
      <c r="A71" s="223"/>
      <c r="B71" s="223"/>
      <c r="C71" s="240"/>
      <c r="D71" s="240"/>
      <c r="E71" s="240"/>
      <c r="F71" s="240"/>
      <c r="G71" s="240"/>
      <c r="H71" s="240"/>
      <c r="I71" s="240"/>
      <c r="J71" s="240"/>
      <c r="K71" s="240"/>
      <c r="L71" s="240"/>
      <c r="M71" s="240"/>
      <c r="N71" s="240"/>
      <c r="O71" s="240"/>
      <c r="P71" s="223"/>
      <c r="Q71" s="241"/>
      <c r="R71" s="241"/>
      <c r="S71" s="241"/>
      <c r="T71" s="223"/>
      <c r="U71" s="223"/>
    </row>
    <row r="72" spans="1:21" hidden="1" x14ac:dyDescent="0.35">
      <c r="A72" s="223"/>
      <c r="B72" s="223"/>
      <c r="C72" s="240"/>
      <c r="D72" s="240"/>
      <c r="E72" s="240"/>
      <c r="F72" s="240"/>
      <c r="G72" s="240"/>
      <c r="H72" s="240"/>
      <c r="I72" s="240"/>
      <c r="J72" s="240"/>
      <c r="K72" s="240"/>
      <c r="L72" s="240"/>
      <c r="M72" s="240"/>
      <c r="N72" s="240"/>
      <c r="O72" s="240"/>
      <c r="P72" s="223"/>
      <c r="Q72" s="241"/>
      <c r="R72" s="241"/>
      <c r="S72" s="241"/>
      <c r="T72" s="223"/>
      <c r="U72" s="223"/>
    </row>
    <row r="73" spans="1:21" ht="15.75" hidden="1" customHeight="1" x14ac:dyDescent="0.35">
      <c r="A73" s="223"/>
      <c r="B73" s="223"/>
      <c r="C73" s="240"/>
      <c r="D73" s="240"/>
      <c r="E73" s="240"/>
      <c r="F73" s="240"/>
      <c r="G73" s="240"/>
      <c r="H73" s="240"/>
      <c r="I73" s="240"/>
      <c r="J73" s="240"/>
      <c r="K73" s="240"/>
      <c r="L73" s="240"/>
      <c r="M73" s="240"/>
      <c r="N73" s="240"/>
      <c r="O73" s="240"/>
      <c r="P73" s="223"/>
      <c r="Q73" s="241"/>
      <c r="R73" s="241"/>
      <c r="S73" s="241"/>
      <c r="T73" s="223"/>
      <c r="U73" s="223"/>
    </row>
    <row r="74" spans="1:21" ht="15" hidden="1" customHeight="1" x14ac:dyDescent="0.35">
      <c r="A74" s="223"/>
      <c r="B74" s="223"/>
      <c r="C74" s="240"/>
      <c r="D74" s="240"/>
      <c r="E74" s="240"/>
      <c r="F74" s="240"/>
      <c r="G74" s="240"/>
      <c r="H74" s="240"/>
      <c r="I74" s="240"/>
      <c r="J74" s="240"/>
      <c r="K74" s="240"/>
      <c r="L74" s="240"/>
      <c r="M74" s="240"/>
      <c r="N74" s="240"/>
      <c r="O74" s="240"/>
      <c r="P74" s="223"/>
      <c r="Q74" s="241"/>
      <c r="R74" s="241"/>
      <c r="S74" s="241"/>
      <c r="T74" s="223"/>
      <c r="U74" s="223"/>
    </row>
    <row r="75" spans="1:21" ht="15" hidden="1" customHeight="1" x14ac:dyDescent="0.35">
      <c r="A75" s="223"/>
      <c r="B75" s="223"/>
      <c r="C75" s="240"/>
      <c r="D75" s="240"/>
      <c r="E75" s="240"/>
      <c r="F75" s="240"/>
      <c r="G75" s="240"/>
      <c r="H75" s="240"/>
      <c r="I75" s="240"/>
      <c r="J75" s="240"/>
      <c r="K75" s="240"/>
      <c r="L75" s="240"/>
      <c r="M75" s="240"/>
      <c r="N75" s="240"/>
      <c r="O75" s="240"/>
      <c r="P75" s="223"/>
      <c r="Q75" s="241"/>
      <c r="R75" s="241"/>
      <c r="S75" s="241"/>
      <c r="T75" s="223"/>
      <c r="U75" s="223"/>
    </row>
    <row r="76" spans="1:21" ht="15" hidden="1" customHeight="1" x14ac:dyDescent="0.35">
      <c r="A76" s="223"/>
      <c r="B76" s="223"/>
      <c r="C76" s="240"/>
      <c r="D76" s="240"/>
      <c r="E76" s="240"/>
      <c r="F76" s="240"/>
      <c r="G76" s="240"/>
      <c r="H76" s="240"/>
      <c r="I76" s="240"/>
      <c r="J76" s="240"/>
      <c r="K76" s="240"/>
      <c r="L76" s="240"/>
      <c r="M76" s="240"/>
      <c r="N76" s="240"/>
      <c r="O76" s="240"/>
      <c r="P76" s="223"/>
      <c r="Q76" s="241"/>
      <c r="R76" s="241"/>
      <c r="S76" s="241"/>
      <c r="T76" s="223"/>
      <c r="U76" s="223"/>
    </row>
    <row r="77" spans="1:21" ht="15" hidden="1" customHeight="1" x14ac:dyDescent="0.35">
      <c r="A77" s="223"/>
      <c r="B77" s="223"/>
      <c r="C77" s="240"/>
      <c r="D77" s="240"/>
      <c r="E77" s="240"/>
      <c r="F77" s="240"/>
      <c r="G77" s="240"/>
      <c r="H77" s="240"/>
      <c r="I77" s="240"/>
      <c r="J77" s="240"/>
      <c r="K77" s="240"/>
      <c r="L77" s="240"/>
      <c r="M77" s="240"/>
      <c r="N77" s="240"/>
      <c r="O77" s="240"/>
      <c r="P77" s="223"/>
      <c r="Q77" s="241"/>
      <c r="R77" s="241"/>
      <c r="S77" s="241"/>
      <c r="T77" s="223"/>
      <c r="U77" s="223"/>
    </row>
    <row r="78" spans="1:21" hidden="1" x14ac:dyDescent="0.35">
      <c r="A78" s="223"/>
      <c r="B78" s="223"/>
      <c r="C78" s="240"/>
      <c r="D78" s="240"/>
      <c r="E78" s="240"/>
      <c r="F78" s="240"/>
      <c r="G78" s="240"/>
      <c r="H78" s="240"/>
      <c r="I78" s="240"/>
      <c r="J78" s="240"/>
      <c r="K78" s="240"/>
      <c r="L78" s="240"/>
      <c r="M78" s="240"/>
      <c r="N78" s="240"/>
      <c r="O78" s="240"/>
      <c r="P78" s="223"/>
      <c r="Q78" s="241"/>
      <c r="R78" s="241"/>
      <c r="S78" s="241"/>
      <c r="T78" s="223"/>
      <c r="U78" s="223"/>
    </row>
    <row r="79" spans="1:21" hidden="1" x14ac:dyDescent="0.35">
      <c r="A79" s="223"/>
      <c r="B79" s="223"/>
      <c r="C79" s="240"/>
      <c r="D79" s="240"/>
      <c r="E79" s="240"/>
      <c r="F79" s="240"/>
      <c r="G79" s="240"/>
      <c r="H79" s="240"/>
      <c r="I79" s="240"/>
      <c r="J79" s="240"/>
      <c r="K79" s="240"/>
      <c r="L79" s="240"/>
      <c r="M79" s="240"/>
      <c r="N79" s="240"/>
      <c r="O79" s="240"/>
      <c r="P79" s="223"/>
      <c r="Q79" s="241"/>
      <c r="R79" s="241"/>
      <c r="S79" s="241"/>
      <c r="T79" s="223"/>
      <c r="U79" s="223"/>
    </row>
    <row r="80" spans="1:21" hidden="1" x14ac:dyDescent="0.35">
      <c r="A80" s="223"/>
      <c r="B80" s="223"/>
      <c r="C80" s="240"/>
      <c r="D80" s="240"/>
      <c r="E80" s="240"/>
      <c r="F80" s="240"/>
      <c r="G80" s="240"/>
      <c r="H80" s="240"/>
      <c r="I80" s="240"/>
      <c r="J80" s="240"/>
      <c r="K80" s="240"/>
      <c r="L80" s="240"/>
      <c r="M80" s="240"/>
      <c r="N80" s="240"/>
      <c r="O80" s="240"/>
      <c r="P80" s="223"/>
      <c r="Q80" s="241"/>
      <c r="R80" s="241"/>
      <c r="S80" s="241"/>
      <c r="T80" s="223"/>
      <c r="U80" s="223"/>
    </row>
    <row r="81" spans="1:21" hidden="1" x14ac:dyDescent="0.35">
      <c r="A81" s="223"/>
      <c r="B81" s="223"/>
      <c r="C81" s="240"/>
      <c r="D81" s="240"/>
      <c r="E81" s="240"/>
      <c r="F81" s="240"/>
      <c r="G81" s="240"/>
      <c r="H81" s="240"/>
      <c r="I81" s="240"/>
      <c r="J81" s="240"/>
      <c r="K81" s="240"/>
      <c r="L81" s="240"/>
      <c r="M81" s="240"/>
      <c r="N81" s="240"/>
      <c r="O81" s="240"/>
      <c r="P81" s="223"/>
      <c r="Q81" s="241"/>
      <c r="R81" s="241"/>
      <c r="S81" s="241"/>
      <c r="T81" s="223"/>
      <c r="U81" s="223"/>
    </row>
    <row r="82" spans="1:21" hidden="1" x14ac:dyDescent="0.35">
      <c r="A82" s="223"/>
      <c r="B82" s="223"/>
      <c r="C82" s="240"/>
      <c r="D82" s="240"/>
      <c r="E82" s="240"/>
      <c r="F82" s="240"/>
      <c r="G82" s="240"/>
      <c r="H82" s="240"/>
      <c r="I82" s="240"/>
      <c r="J82" s="240"/>
      <c r="K82" s="240"/>
      <c r="L82" s="240"/>
      <c r="M82" s="240"/>
      <c r="N82" s="240"/>
      <c r="O82" s="240"/>
      <c r="P82" s="223"/>
      <c r="Q82" s="241"/>
      <c r="R82" s="241"/>
      <c r="S82" s="241"/>
      <c r="T82" s="223"/>
      <c r="U82" s="223"/>
    </row>
    <row r="83" spans="1:21" hidden="1" x14ac:dyDescent="0.35">
      <c r="A83" s="223"/>
      <c r="B83" s="223"/>
      <c r="C83" s="240"/>
      <c r="D83" s="240"/>
      <c r="E83" s="240"/>
      <c r="F83" s="240"/>
      <c r="G83" s="240"/>
      <c r="H83" s="240"/>
      <c r="I83" s="240"/>
      <c r="J83" s="240"/>
      <c r="K83" s="240"/>
      <c r="L83" s="240"/>
      <c r="M83" s="240"/>
      <c r="N83" s="240"/>
      <c r="O83" s="240"/>
      <c r="P83" s="223"/>
      <c r="Q83" s="241"/>
      <c r="R83" s="241"/>
      <c r="S83" s="241"/>
      <c r="T83" s="223"/>
      <c r="U83" s="223"/>
    </row>
    <row r="84" spans="1:21" hidden="1" x14ac:dyDescent="0.35">
      <c r="A84" s="223"/>
      <c r="B84" s="223"/>
      <c r="C84" s="240"/>
      <c r="D84" s="240"/>
      <c r="E84" s="240"/>
      <c r="F84" s="240"/>
      <c r="G84" s="240"/>
      <c r="H84" s="240"/>
      <c r="I84" s="240"/>
      <c r="J84" s="240"/>
      <c r="K84" s="240"/>
      <c r="L84" s="240"/>
      <c r="M84" s="240"/>
      <c r="N84" s="240"/>
      <c r="O84" s="240"/>
      <c r="P84" s="223"/>
      <c r="Q84" s="241"/>
      <c r="R84" s="241"/>
      <c r="S84" s="241"/>
      <c r="T84" s="223"/>
      <c r="U84" s="223"/>
    </row>
    <row r="85" spans="1:21" hidden="1" x14ac:dyDescent="0.35">
      <c r="A85" s="223"/>
      <c r="B85" s="223"/>
      <c r="C85" s="240"/>
      <c r="D85" s="240"/>
      <c r="E85" s="240"/>
      <c r="F85" s="240"/>
      <c r="G85" s="240"/>
      <c r="H85" s="240"/>
      <c r="I85" s="240"/>
      <c r="J85" s="240"/>
      <c r="K85" s="240"/>
      <c r="L85" s="240"/>
      <c r="M85" s="240"/>
      <c r="N85" s="240"/>
      <c r="O85" s="240"/>
      <c r="P85" s="223"/>
      <c r="Q85" s="241"/>
      <c r="R85" s="241"/>
      <c r="S85" s="241"/>
      <c r="T85" s="223"/>
      <c r="U85" s="223"/>
    </row>
    <row r="86" spans="1:21" hidden="1" x14ac:dyDescent="0.35">
      <c r="A86" s="223"/>
      <c r="B86" s="223"/>
      <c r="C86" s="240"/>
      <c r="D86" s="240"/>
      <c r="E86" s="240"/>
      <c r="F86" s="240"/>
      <c r="G86" s="240"/>
      <c r="H86" s="240"/>
      <c r="I86" s="240"/>
      <c r="J86" s="240"/>
      <c r="K86" s="240"/>
      <c r="L86" s="240"/>
      <c r="M86" s="240"/>
      <c r="N86" s="240"/>
      <c r="O86" s="240"/>
      <c r="P86" s="223"/>
      <c r="Q86" s="241"/>
      <c r="R86" s="241"/>
      <c r="S86" s="241"/>
      <c r="T86" s="223"/>
      <c r="U86" s="223"/>
    </row>
    <row r="87" spans="1:21" hidden="1" x14ac:dyDescent="0.35">
      <c r="C87" s="231"/>
      <c r="D87" s="231"/>
      <c r="E87" s="231"/>
      <c r="F87" s="231"/>
      <c r="G87" s="231"/>
      <c r="H87" s="231"/>
      <c r="I87" s="231"/>
      <c r="J87" s="231"/>
      <c r="K87" s="231"/>
      <c r="L87" s="231"/>
      <c r="M87" s="231"/>
      <c r="N87" s="231"/>
      <c r="O87" s="231"/>
    </row>
    <row r="88" spans="1:21" hidden="1" x14ac:dyDescent="0.35">
      <c r="C88" s="231"/>
      <c r="D88" s="231"/>
      <c r="E88" s="231"/>
      <c r="F88" s="231"/>
      <c r="G88" s="231"/>
      <c r="H88" s="231"/>
      <c r="I88" s="231"/>
      <c r="J88" s="231"/>
      <c r="K88" s="231"/>
      <c r="L88" s="231"/>
      <c r="M88" s="231"/>
      <c r="N88" s="231"/>
      <c r="O88" s="231"/>
    </row>
  </sheetData>
  <sheetProtection algorithmName="SHA-512" hashValue="9D0kSZwi55kBn/sgUMyBT2zyZKgzbJhttOKqQcPrttL2kb6qjWGoqmk00SAwseJowVjoXn2du55XkGxtnh7wSQ==" saltValue="D6E33/MVVQTEQnBTJ6ichA==" spinCount="100000" sheet="1" objects="1" scenarios="1"/>
  <mergeCells count="5">
    <mergeCell ref="D4:M4"/>
    <mergeCell ref="D5:M5"/>
    <mergeCell ref="E22:L22"/>
    <mergeCell ref="E37:L37"/>
    <mergeCell ref="D7:O7"/>
  </mergeCells>
  <conditionalFormatting sqref="D7">
    <cfRule type="expression" dxfId="0" priority="1">
      <formula>#REF!="Yes"</formula>
    </cfRule>
  </conditionalFormatting>
  <pageMargins left="0.3" right="0.18" top="0.36" bottom="0.35" header="0.25" footer="0.25"/>
  <pageSetup scale="96"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C7381-9C82-46B7-B5FB-7CF27DBCFE18}">
  <dimension ref="A1"/>
  <sheetViews>
    <sheetView zoomScaleNormal="100" workbookViewId="0">
      <selection activeCell="O14" sqref="O14"/>
    </sheetView>
  </sheetViews>
  <sheetFormatPr defaultRowHeight="12.5" x14ac:dyDescent="0.25"/>
  <sheetData/>
  <sheetProtection algorithmName="SHA-512" hashValue="dEhLrpst1+jYaZCuQnLaRY70SYvWIWv7Tqb0ZBbDhEJJLgtJrHXkebXnrSosJP/g2KSyFL5sbbt4VGpybsD9oA==" saltValue="su0B+v8N7esDW+4IC88lOw==" spinCount="100000" sheet="1" objects="1" scenarios="1"/>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
  <dimension ref="A1:B1"/>
  <sheetViews>
    <sheetView workbookViewId="0">
      <selection activeCell="A2" sqref="A2"/>
    </sheetView>
  </sheetViews>
  <sheetFormatPr defaultRowHeight="12.5" x14ac:dyDescent="0.25"/>
  <sheetData>
    <row r="1" spans="1:2" x14ac:dyDescent="0.25">
      <c r="A1" t="s">
        <v>10</v>
      </c>
      <c r="B1" t="s">
        <v>11</v>
      </c>
    </row>
  </sheetData>
  <phoneticPr fontId="10" type="noConversion"/>
  <pageMargins left="0.75" right="0.75" top="1" bottom="1" header="0.5" footer="0.5"/>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1EB3F97F4AE0E42B45E1938BBA1EB2E" ma:contentTypeVersion="12" ma:contentTypeDescription="Create a new document." ma:contentTypeScope="" ma:versionID="7c5b1271ee1ec7d88045a4c09582be70">
  <xsd:schema xmlns:xsd="http://www.w3.org/2001/XMLSchema" xmlns:xs="http://www.w3.org/2001/XMLSchema" xmlns:p="http://schemas.microsoft.com/office/2006/metadata/properties" xmlns:ns3="29b36ee5-1ca7-46dd-b5f0-cd38d455131d" xmlns:ns4="dbe9e2a1-d586-409c-905c-748d15c9a972" targetNamespace="http://schemas.microsoft.com/office/2006/metadata/properties" ma:root="true" ma:fieldsID="e8335a1bafc27793898155234b251767" ns3:_="" ns4:_="">
    <xsd:import namespace="29b36ee5-1ca7-46dd-b5f0-cd38d455131d"/>
    <xsd:import namespace="dbe9e2a1-d586-409c-905c-748d15c9a97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9b36ee5-1ca7-46dd-b5f0-cd38d455131d"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be9e2a1-d586-409c-905c-748d15c9a972"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E16F68-9D4E-4E6D-A21A-1903391CC2DC}">
  <ds:schemaRefs>
    <ds:schemaRef ds:uri="dbe9e2a1-d586-409c-905c-748d15c9a972"/>
    <ds:schemaRef ds:uri="http://schemas.microsoft.com/office/2006/documentManagement/types"/>
    <ds:schemaRef ds:uri="http://schemas.microsoft.com/office/2006/metadata/properties"/>
    <ds:schemaRef ds:uri="http://purl.org/dc/terms/"/>
    <ds:schemaRef ds:uri="http://schemas.openxmlformats.org/package/2006/metadata/core-properties"/>
    <ds:schemaRef ds:uri="http://purl.org/dc/dcmitype/"/>
    <ds:schemaRef ds:uri="http://schemas.microsoft.com/office/infopath/2007/PartnerControls"/>
    <ds:schemaRef ds:uri="29b36ee5-1ca7-46dd-b5f0-cd38d455131d"/>
    <ds:schemaRef ds:uri="http://www.w3.org/XML/1998/namespace"/>
    <ds:schemaRef ds:uri="http://purl.org/dc/elements/1.1/"/>
  </ds:schemaRefs>
</ds:datastoreItem>
</file>

<file path=customXml/itemProps2.xml><?xml version="1.0" encoding="utf-8"?>
<ds:datastoreItem xmlns:ds="http://schemas.openxmlformats.org/officeDocument/2006/customXml" ds:itemID="{D6AD819A-8F0A-4977-9004-1B9B95B5A3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9b36ee5-1ca7-46dd-b5f0-cd38d455131d"/>
    <ds:schemaRef ds:uri="dbe9e2a1-d586-409c-905c-748d15c9a9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CCFCF6-AA6C-4018-A70B-1090EAADEF0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5</vt:i4>
      </vt:variant>
    </vt:vector>
  </HeadingPairs>
  <TitlesOfParts>
    <vt:vector size="17" baseType="lpstr">
      <vt:lpstr>Disclaimer</vt:lpstr>
      <vt:lpstr>Instructions</vt:lpstr>
      <vt:lpstr>Input</vt:lpstr>
      <vt:lpstr>Calculations</vt:lpstr>
      <vt:lpstr>copyright_disclaimer</vt:lpstr>
      <vt:lpstr>Tax Calculator - Calculations</vt:lpstr>
      <vt:lpstr>Extension</vt:lpstr>
      <vt:lpstr>Tax Calculator - Extension</vt:lpstr>
      <vt:lpstr>Certificate of Tax Levy</vt:lpstr>
      <vt:lpstr>Truth in Taxation</vt:lpstr>
      <vt:lpstr>Explanation</vt:lpstr>
      <vt:lpstr>InfoPage</vt:lpstr>
      <vt:lpstr>Instructions!_Hlk137061978</vt:lpstr>
      <vt:lpstr>Calculations!Print_Area</vt:lpstr>
      <vt:lpstr>Extension!Print_Area</vt:lpstr>
      <vt:lpstr>Input!Print_Area</vt:lpstr>
      <vt:lpstr>'Truth in Taxation'!Print_Area</vt:lpstr>
    </vt:vector>
  </TitlesOfParts>
  <Company>School Business &amp; Support Services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Certificate of Tax Levy</dc:title>
  <dc:subject>Form</dc:subject>
  <dc:creator>DJH</dc:creator>
  <cp:lastModifiedBy>Laura Fox</cp:lastModifiedBy>
  <cp:lastPrinted>2025-08-13T21:27:12Z</cp:lastPrinted>
  <dcterms:created xsi:type="dcterms:W3CDTF">2001-07-03T19:36:57Z</dcterms:created>
  <dcterms:modified xsi:type="dcterms:W3CDTF">2025-08-27T13:39:04Z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0x010100C1EB3F97F4AE0E42B45E1938BBA1EB2E</vt:lpwstr>
  </property>
</Properties>
</file>