
<file path=[Content_Types].xml><?xml version="1.0" encoding="utf-8"?>
<Types xmlns="http://schemas.openxmlformats.org/package/2006/content-types">
  <Default Extension="bin" ContentType="application/vnd.openxmlformats-officedocument.spreadsheetml.printerSettings"/>
  <Default Extension="doc" ContentType="application/msword"/>
  <Default Extension="docx" ContentType="application/vnd.openxmlformats-officedocument.wordprocessingml.document"/>
  <Default Extension="emf" ContentType="image/x-emf"/>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codeName="ThisWorkbook" defaultThemeVersion="124226"/>
  <mc:AlternateContent xmlns:mc="http://schemas.openxmlformats.org/markup-compatibility/2006">
    <mc:Choice Requires="x15">
      <x15ac:absPath xmlns:x15ac="http://schemas.microsoft.com/office/spreadsheetml/2010/11/ac" url="C:\Users\lfox\Downloads\"/>
    </mc:Choice>
  </mc:AlternateContent>
  <xr:revisionPtr revIDLastSave="0" documentId="8_{97C6FA5E-B4FA-49AD-A92C-0C8A03373F1E}" xr6:coauthVersionLast="47" xr6:coauthVersionMax="47" xr10:uidLastSave="{00000000-0000-0000-0000-000000000000}"/>
  <bookViews>
    <workbookView xWindow="-110" yWindow="-110" windowWidth="19420" windowHeight="10300" xr2:uid="{00000000-000D-0000-FFFF-FFFF00000000}"/>
  </bookViews>
  <sheets>
    <sheet name="Disclaimer" sheetId="19" r:id="rId1"/>
    <sheet name="Instructions" sheetId="16" r:id="rId2"/>
    <sheet name="Input" sheetId="5" r:id="rId3"/>
    <sheet name="Calculations" sheetId="9" r:id="rId4"/>
    <sheet name="copyright_disclaimer" sheetId="15" state="hidden" r:id="rId5"/>
    <sheet name="Tax Calculator - Calculations" sheetId="21" r:id="rId6"/>
    <sheet name="Extension" sheetId="17" r:id="rId7"/>
    <sheet name="Tax Calculator - Extension" sheetId="20" r:id="rId8"/>
    <sheet name="Truth in Taxation" sheetId="22" r:id="rId9"/>
    <sheet name="InfoPage" sheetId="3" state="hidden" r:id="rId10"/>
  </sheets>
  <externalReferences>
    <externalReference r:id="rId11"/>
  </externalReferences>
  <definedNames>
    <definedName name="_xlnm.Print_Area" localSheetId="3">Calculations!$A$1:$L$44</definedName>
    <definedName name="_xlnm.Print_Area" localSheetId="6">Extension!$A$1:$N$45</definedName>
    <definedName name="_xlnm.Print_Area" localSheetId="2">Input!$A$7:$H$81</definedName>
    <definedName name="_xlnm.Print_Area" localSheetId="8">'Truth in Taxation'!$A$1:$Q$51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I8" i="17" l="1"/>
  <c r="H69" i="5" l="1"/>
  <c r="D75" i="5"/>
  <c r="D8" i="22"/>
  <c r="C27" i="9"/>
  <c r="A26" i="9" l="1"/>
  <c r="A30" i="17" s="1"/>
  <c r="A27" i="9"/>
  <c r="A31" i="17" s="1"/>
  <c r="D36" i="22"/>
  <c r="D33" i="22"/>
  <c r="D29" i="22"/>
  <c r="D26" i="22"/>
  <c r="D25" i="22"/>
  <c r="D21" i="22" l="1"/>
  <c r="D72" i="5"/>
  <c r="D73" i="5"/>
  <c r="D64" i="5"/>
  <c r="D17" i="22"/>
  <c r="D13" i="22"/>
  <c r="T8" i="22"/>
  <c r="D9" i="22" s="1"/>
  <c r="D7" i="22"/>
  <c r="D5" i="22"/>
  <c r="H8" i="9" l="1"/>
  <c r="G8" i="9"/>
  <c r="B27" i="9"/>
  <c r="B9" i="21" l="1"/>
  <c r="C41" i="5"/>
  <c r="D27" i="9" s="1"/>
  <c r="B39" i="5"/>
  <c r="A9" i="21" s="1"/>
  <c r="D35" i="5"/>
  <c r="B35" i="5"/>
  <c r="B37" i="5"/>
  <c r="B33" i="5"/>
  <c r="C26" i="9"/>
  <c r="D63" i="5"/>
  <c r="B26" i="9" s="1"/>
  <c r="E69" i="5" l="1"/>
  <c r="K21" i="9" l="1"/>
  <c r="D53" i="5" l="1"/>
  <c r="G36" i="9"/>
  <c r="A2" i="20"/>
  <c r="A25" i="20"/>
  <c r="A24" i="20"/>
  <c r="A15" i="20"/>
  <c r="M15" i="20"/>
  <c r="Z9" i="20"/>
  <c r="Z8" i="20"/>
  <c r="Z7" i="20"/>
  <c r="A7" i="20"/>
  <c r="L19" i="20"/>
  <c r="L8" i="20"/>
  <c r="L6" i="20"/>
  <c r="A27" i="20"/>
  <c r="I21" i="20"/>
  <c r="A22" i="20"/>
  <c r="A14" i="20"/>
  <c r="A13" i="20"/>
  <c r="A11" i="20"/>
  <c r="L6" i="21"/>
  <c r="L8" i="21"/>
  <c r="L19" i="21"/>
  <c r="A27" i="21"/>
  <c r="A22" i="21"/>
  <c r="A15" i="21"/>
  <c r="A14" i="21"/>
  <c r="A13" i="21"/>
  <c r="A7" i="21"/>
  <c r="A2" i="21"/>
  <c r="M15" i="21"/>
  <c r="N12" i="21"/>
  <c r="I21" i="21"/>
  <c r="Y9" i="21" l="1"/>
  <c r="N11" i="21" s="1"/>
  <c r="N12" i="20"/>
  <c r="Y9" i="20"/>
  <c r="N11" i="20" s="1"/>
  <c r="B40" i="9" l="1"/>
  <c r="K20" i="9"/>
  <c r="K19" i="9"/>
  <c r="C16" i="9" l="1"/>
  <c r="G69" i="5" l="1"/>
  <c r="F69" i="5"/>
  <c r="B31" i="5"/>
  <c r="D29" i="5" l="1"/>
  <c r="D71" i="5" l="1"/>
  <c r="C28" i="9" l="1"/>
  <c r="C29" i="9"/>
  <c r="A28" i="9"/>
  <c r="A32" i="17" s="1"/>
  <c r="A29" i="9"/>
  <c r="A33" i="17" s="1"/>
  <c r="D19" i="9"/>
  <c r="D20" i="9"/>
  <c r="C19" i="9"/>
  <c r="C20" i="9"/>
  <c r="A19" i="9"/>
  <c r="A23" i="17" s="1"/>
  <c r="A20" i="9"/>
  <c r="A24" i="17" s="1"/>
  <c r="D65" i="5"/>
  <c r="B28" i="9" s="1"/>
  <c r="D66" i="5"/>
  <c r="B29" i="9" s="1"/>
  <c r="D56" i="5"/>
  <c r="B19" i="9" s="1"/>
  <c r="D57" i="5"/>
  <c r="B20" i="9" s="1"/>
  <c r="A15" i="9"/>
  <c r="A19" i="17" s="1"/>
  <c r="A16" i="9"/>
  <c r="A20" i="17" s="1"/>
  <c r="A17" i="9"/>
  <c r="A21" i="17" s="1"/>
  <c r="A18" i="9"/>
  <c r="A22" i="17" s="1"/>
  <c r="A21" i="9"/>
  <c r="A25" i="17" s="1"/>
  <c r="A22" i="9"/>
  <c r="A26" i="17" s="1"/>
  <c r="A23" i="9"/>
  <c r="A27" i="17" s="1"/>
  <c r="A24" i="9"/>
  <c r="A28" i="17" s="1"/>
  <c r="A25" i="9"/>
  <c r="A29" i="17" s="1"/>
  <c r="A30" i="9"/>
  <c r="A34" i="17" s="1"/>
  <c r="A14" i="9"/>
  <c r="A18" i="17" s="1"/>
  <c r="B37" i="9" l="1"/>
  <c r="C23" i="9"/>
  <c r="C21" i="9"/>
  <c r="C18" i="9"/>
  <c r="H16" i="17" l="1"/>
  <c r="G16" i="17"/>
  <c r="G12" i="9"/>
  <c r="H14" i="17"/>
  <c r="A37" i="17"/>
  <c r="A33" i="9"/>
  <c r="I33" i="9"/>
  <c r="I16" i="17"/>
  <c r="J13" i="17"/>
  <c r="K23" i="9"/>
  <c r="K18" i="9"/>
  <c r="D18" i="9"/>
  <c r="D21" i="9"/>
  <c r="A6" i="21"/>
  <c r="G5" i="9"/>
  <c r="F12" i="9" l="1"/>
  <c r="H11" i="17"/>
  <c r="H10" i="17"/>
  <c r="H9" i="17"/>
  <c r="A9" i="20" s="1"/>
  <c r="H8" i="17"/>
  <c r="A6" i="20" s="1"/>
  <c r="H5" i="17"/>
  <c r="H4" i="17"/>
  <c r="H3" i="17"/>
  <c r="H2" i="17"/>
  <c r="D31" i="5"/>
  <c r="E50" i="5"/>
  <c r="D50" i="5"/>
  <c r="G11" i="9"/>
  <c r="G10" i="9"/>
  <c r="G6" i="9"/>
  <c r="G3" i="9"/>
  <c r="D13" i="9"/>
  <c r="C77" i="5"/>
  <c r="C75" i="5"/>
  <c r="C69" i="5"/>
  <c r="B41" i="5"/>
  <c r="A11" i="21" s="1"/>
  <c r="A51" i="5" l="1"/>
  <c r="A53" i="5"/>
  <c r="L37" i="17" l="1"/>
  <c r="L35" i="17" s="1"/>
  <c r="M35" i="17" s="1"/>
  <c r="H3" i="9" l="1"/>
  <c r="A2" i="17"/>
  <c r="C14" i="9"/>
  <c r="C15" i="9"/>
  <c r="C17" i="9"/>
  <c r="C22" i="9"/>
  <c r="C24" i="9"/>
  <c r="C25" i="9"/>
  <c r="C30" i="9"/>
  <c r="B9" i="20"/>
  <c r="H2" i="9"/>
  <c r="A2" i="9"/>
  <c r="I3" i="17"/>
  <c r="D51" i="5"/>
  <c r="D52" i="5"/>
  <c r="B15" i="9" s="1"/>
  <c r="B16" i="9"/>
  <c r="D54" i="5"/>
  <c r="B17" i="9" s="1"/>
  <c r="D55" i="5"/>
  <c r="B18" i="9" s="1"/>
  <c r="D58" i="5"/>
  <c r="B21" i="9" s="1"/>
  <c r="D59" i="5"/>
  <c r="B22" i="9" s="1"/>
  <c r="D60" i="5"/>
  <c r="B23" i="9" s="1"/>
  <c r="D61" i="5"/>
  <c r="B24" i="9" s="1"/>
  <c r="D62" i="5"/>
  <c r="B25" i="9" s="1"/>
  <c r="D67" i="5"/>
  <c r="B30" i="9" s="1"/>
  <c r="D23" i="9"/>
  <c r="H50" i="5"/>
  <c r="G50" i="5"/>
  <c r="F50" i="5"/>
  <c r="B42" i="9"/>
  <c r="J42" i="9"/>
  <c r="B43" i="17" l="1"/>
  <c r="D30" i="22"/>
  <c r="D16" i="9"/>
  <c r="D26" i="9"/>
  <c r="C42" i="5"/>
  <c r="D28" i="9"/>
  <c r="D29" i="9"/>
  <c r="D17" i="9"/>
  <c r="D30" i="9"/>
  <c r="D15" i="9"/>
  <c r="D22" i="9"/>
  <c r="D24" i="9"/>
  <c r="D25" i="9"/>
  <c r="D14" i="9"/>
  <c r="K42" i="9"/>
  <c r="H10" i="9"/>
  <c r="I4" i="17"/>
  <c r="D69" i="5"/>
  <c r="D18" i="22" s="1"/>
  <c r="B14" i="9"/>
  <c r="I2" i="17" l="1"/>
  <c r="H5" i="9"/>
  <c r="H11" i="9"/>
  <c r="F37" i="9"/>
  <c r="B13" i="21"/>
  <c r="B13" i="20"/>
  <c r="B9" i="9"/>
  <c r="B10" i="9" s="1"/>
  <c r="D77" i="5"/>
  <c r="I5" i="17"/>
  <c r="B33" i="9"/>
  <c r="B10" i="17"/>
  <c r="B11" i="17" s="1"/>
  <c r="D33" i="9"/>
  <c r="F27" i="9" l="1"/>
  <c r="J27" i="9" s="1"/>
  <c r="B6" i="21"/>
  <c r="M8" i="21" s="1"/>
  <c r="M11" i="21" s="1"/>
  <c r="M12" i="21" s="1"/>
  <c r="M17" i="21" s="1"/>
  <c r="D34" i="22"/>
  <c r="H6" i="9"/>
  <c r="B7" i="21" s="1"/>
  <c r="B11" i="21" s="1"/>
  <c r="B44" i="9"/>
  <c r="F26" i="9"/>
  <c r="J26" i="9" s="1"/>
  <c r="B28" i="20"/>
  <c r="B28" i="21"/>
  <c r="J40" i="9"/>
  <c r="B41" i="17" s="1"/>
  <c r="J37" i="9"/>
  <c r="F16" i="9"/>
  <c r="J16" i="9" s="1"/>
  <c r="K16" i="9" s="1"/>
  <c r="F20" i="9"/>
  <c r="J20" i="9" s="1"/>
  <c r="B24" i="17" s="1"/>
  <c r="E24" i="17" s="1"/>
  <c r="F19" i="9"/>
  <c r="J19" i="9" s="1"/>
  <c r="B23" i="17" s="1"/>
  <c r="E23" i="17" s="1"/>
  <c r="F28" i="9"/>
  <c r="J28" i="9" s="1"/>
  <c r="F29" i="9"/>
  <c r="J29" i="9" s="1"/>
  <c r="F23" i="9"/>
  <c r="J23" i="9" s="1"/>
  <c r="F21" i="9"/>
  <c r="J21" i="9" s="1"/>
  <c r="B25" i="17" s="1"/>
  <c r="E25" i="17" s="1"/>
  <c r="F18" i="9"/>
  <c r="J18" i="9" s="1"/>
  <c r="F17" i="9"/>
  <c r="F24" i="9"/>
  <c r="F14" i="9"/>
  <c r="F22" i="9"/>
  <c r="F15" i="9"/>
  <c r="F30" i="9"/>
  <c r="F25" i="9"/>
  <c r="B7" i="20" l="1"/>
  <c r="I10" i="17"/>
  <c r="I41" i="17" s="1"/>
  <c r="J41" i="17" s="1"/>
  <c r="L41" i="17" s="1"/>
  <c r="L42" i="17" s="1"/>
  <c r="B31" i="17"/>
  <c r="E31" i="17" s="1"/>
  <c r="K27" i="9"/>
  <c r="B15" i="21"/>
  <c r="B20" i="21"/>
  <c r="B24" i="21"/>
  <c r="B25" i="21"/>
  <c r="B6" i="20"/>
  <c r="B30" i="17"/>
  <c r="E30" i="17" s="1"/>
  <c r="K26" i="9"/>
  <c r="B39" i="17"/>
  <c r="B33" i="17"/>
  <c r="E33" i="17" s="1"/>
  <c r="K29" i="9"/>
  <c r="B32" i="17"/>
  <c r="E32" i="17" s="1"/>
  <c r="K28" i="9"/>
  <c r="J22" i="9"/>
  <c r="J17" i="9"/>
  <c r="B21" i="17" s="1"/>
  <c r="E21" i="17" s="1"/>
  <c r="B20" i="17"/>
  <c r="E20" i="17" s="1"/>
  <c r="J30" i="9"/>
  <c r="J25" i="9"/>
  <c r="J15" i="9"/>
  <c r="B19" i="17" s="1"/>
  <c r="E19" i="17" s="1"/>
  <c r="J24" i="9"/>
  <c r="B22" i="17"/>
  <c r="E22" i="17" s="1"/>
  <c r="B27" i="17"/>
  <c r="E27" i="17" s="1"/>
  <c r="F33" i="9"/>
  <c r="F25" i="17" l="1"/>
  <c r="G25" i="17" s="1"/>
  <c r="H25" i="17" s="1"/>
  <c r="F32" i="17"/>
  <c r="G32" i="17" s="1"/>
  <c r="H32" i="17" s="1"/>
  <c r="F33" i="17"/>
  <c r="G33" i="17" s="1"/>
  <c r="H33" i="17" s="1"/>
  <c r="F31" i="17"/>
  <c r="G31" i="17" s="1"/>
  <c r="H31" i="17" s="1"/>
  <c r="F30" i="17"/>
  <c r="G30" i="17" s="1"/>
  <c r="H30" i="17" s="1"/>
  <c r="B22" i="21"/>
  <c r="J43" i="17"/>
  <c r="I11" i="17"/>
  <c r="C10" i="17"/>
  <c r="C11" i="17" s="1"/>
  <c r="F23" i="17"/>
  <c r="G23" i="17" s="1"/>
  <c r="H23" i="17" s="1"/>
  <c r="F24" i="17"/>
  <c r="G24" i="17" s="1"/>
  <c r="H24" i="17" s="1"/>
  <c r="B11" i="20"/>
  <c r="M8" i="20"/>
  <c r="M11" i="20" s="1"/>
  <c r="M12" i="20" s="1"/>
  <c r="M17" i="20" s="1"/>
  <c r="B25" i="20"/>
  <c r="N41" i="17"/>
  <c r="I39" i="17"/>
  <c r="J39" i="17" s="1"/>
  <c r="B24" i="20" s="1"/>
  <c r="F27" i="17"/>
  <c r="G27" i="17" s="1"/>
  <c r="H27" i="17" s="1"/>
  <c r="K25" i="9"/>
  <c r="K22" i="9"/>
  <c r="K30" i="9"/>
  <c r="K24" i="9"/>
  <c r="K15" i="9"/>
  <c r="K17" i="9"/>
  <c r="B34" i="17"/>
  <c r="E34" i="17" s="1"/>
  <c r="F34" i="17" s="1"/>
  <c r="B29" i="17"/>
  <c r="E29" i="17" s="1"/>
  <c r="F29" i="17" s="1"/>
  <c r="G29" i="17" s="1"/>
  <c r="H29" i="17" s="1"/>
  <c r="B28" i="17"/>
  <c r="E28" i="17" s="1"/>
  <c r="F28" i="17" s="1"/>
  <c r="G28" i="17" s="1"/>
  <c r="H28" i="17" s="1"/>
  <c r="B26" i="17"/>
  <c r="E26" i="17" s="1"/>
  <c r="F26" i="17" s="1"/>
  <c r="G26" i="17" s="1"/>
  <c r="H26" i="17" s="1"/>
  <c r="F22" i="17"/>
  <c r="G22" i="17" s="1"/>
  <c r="H22" i="17" s="1"/>
  <c r="F20" i="17"/>
  <c r="G20" i="17" s="1"/>
  <c r="H20" i="17" s="1"/>
  <c r="F19" i="17"/>
  <c r="G19" i="17" s="1"/>
  <c r="H19" i="17" s="1"/>
  <c r="F21" i="17"/>
  <c r="G21" i="17" s="1"/>
  <c r="H21" i="17" s="1"/>
  <c r="G33" i="9"/>
  <c r="J14" i="9"/>
  <c r="J33" i="9" s="1"/>
  <c r="N43" i="17" l="1"/>
  <c r="J44" i="9"/>
  <c r="D22" i="22"/>
  <c r="B15" i="20"/>
  <c r="B20" i="20"/>
  <c r="G34" i="17"/>
  <c r="H34" i="17" s="1"/>
  <c r="K14" i="9"/>
  <c r="B14" i="21"/>
  <c r="B27" i="21" s="1"/>
  <c r="M19" i="21" s="1"/>
  <c r="K37" i="9"/>
  <c r="L37" i="9" s="1"/>
  <c r="N39" i="17"/>
  <c r="L39" i="17"/>
  <c r="L40" i="17" s="1"/>
  <c r="B18" i="17"/>
  <c r="B37" i="17" s="1"/>
  <c r="B45" i="17" s="1"/>
  <c r="J34" i="9"/>
  <c r="I34" i="9" s="1"/>
  <c r="B22" i="20" l="1"/>
  <c r="D37" i="22"/>
  <c r="E37" i="22" s="1"/>
  <c r="E22" i="22"/>
  <c r="K44" i="9"/>
  <c r="E18" i="17"/>
  <c r="F18" i="17" s="1"/>
  <c r="E37" i="17" l="1"/>
  <c r="G18" i="17"/>
  <c r="F37" i="17"/>
  <c r="G37" i="17" l="1"/>
  <c r="I13" i="17" s="1"/>
  <c r="H18" i="17"/>
  <c r="H37" i="17" s="1"/>
  <c r="I30" i="17" l="1"/>
  <c r="M30" i="17" s="1"/>
  <c r="N30" i="17" s="1"/>
  <c r="I31" i="17"/>
  <c r="I21" i="17"/>
  <c r="I20" i="17"/>
  <c r="I18" i="17"/>
  <c r="I27" i="17"/>
  <c r="I22" i="17"/>
  <c r="I25" i="17"/>
  <c r="I32" i="17"/>
  <c r="I29" i="17"/>
  <c r="I26" i="17"/>
  <c r="I34" i="17"/>
  <c r="I23" i="17"/>
  <c r="I33" i="17"/>
  <c r="I24" i="17"/>
  <c r="I19" i="17"/>
  <c r="I28" i="17"/>
  <c r="J30" i="17" l="1"/>
  <c r="J31" i="17"/>
  <c r="M31" i="17"/>
  <c r="N31" i="17" s="1"/>
  <c r="J28" i="17"/>
  <c r="M28" i="17"/>
  <c r="N28" i="17" s="1"/>
  <c r="M32" i="17"/>
  <c r="N32" i="17" s="1"/>
  <c r="J32" i="17"/>
  <c r="M25" i="17"/>
  <c r="N25" i="17" s="1"/>
  <c r="J25" i="17"/>
  <c r="J22" i="17"/>
  <c r="M22" i="17"/>
  <c r="N22" i="17" s="1"/>
  <c r="M24" i="17"/>
  <c r="N24" i="17" s="1"/>
  <c r="J24" i="17"/>
  <c r="J33" i="17"/>
  <c r="M33" i="17"/>
  <c r="N33" i="17" s="1"/>
  <c r="J27" i="17"/>
  <c r="M27" i="17"/>
  <c r="N27" i="17" s="1"/>
  <c r="J29" i="17"/>
  <c r="M29" i="17"/>
  <c r="N29" i="17" s="1"/>
  <c r="M18" i="17"/>
  <c r="J18" i="17"/>
  <c r="I37" i="17"/>
  <c r="I45" i="17" s="1"/>
  <c r="M19" i="17"/>
  <c r="N19" i="17" s="1"/>
  <c r="J19" i="17"/>
  <c r="M34" i="17"/>
  <c r="N34" i="17" s="1"/>
  <c r="J34" i="17"/>
  <c r="J20" i="17"/>
  <c r="M20" i="17"/>
  <c r="N20" i="17" s="1"/>
  <c r="J23" i="17"/>
  <c r="M23" i="17"/>
  <c r="N23" i="17" s="1"/>
  <c r="M26" i="17"/>
  <c r="N26" i="17" s="1"/>
  <c r="J26" i="17"/>
  <c r="J21" i="17"/>
  <c r="M21" i="17"/>
  <c r="N21" i="17" s="1"/>
  <c r="M37" i="17" l="1"/>
  <c r="N18" i="17"/>
  <c r="N37" i="17" s="1"/>
  <c r="N45" i="17" s="1"/>
  <c r="J37" i="17"/>
  <c r="J45" i="17" s="1"/>
  <c r="I14" i="17"/>
  <c r="J14" i="17" s="1"/>
  <c r="B14" i="20" l="1"/>
  <c r="B27" i="20" s="1"/>
  <c r="M19" i="20" l="1"/>
</calcChain>
</file>

<file path=xl/sharedStrings.xml><?xml version="1.0" encoding="utf-8"?>
<sst xmlns="http://schemas.openxmlformats.org/spreadsheetml/2006/main" count="237" uniqueCount="182">
  <si>
    <t>Password:</t>
  </si>
  <si>
    <t>CTL02</t>
  </si>
  <si>
    <t>LEVY INPUT PAGE - ASSUMPTIONS</t>
  </si>
  <si>
    <t>Fill out County names as needed - leave other boxes blank</t>
  </si>
  <si>
    <t>Enter "x" in one box only</t>
  </si>
  <si>
    <t>Limiting Rate:</t>
  </si>
  <si>
    <t>Truth in Taxation</t>
  </si>
  <si>
    <t>(Prior Year Extension x (1+Lesser of 5% or CPI))</t>
  </si>
  <si>
    <t>Yes</t>
  </si>
  <si>
    <t>No</t>
  </si>
  <si>
    <t>x</t>
  </si>
  <si>
    <t>Follow these steps to view and set the macro security level in Excel 2010:</t>
  </si>
  <si>
    <r>
      <t>1.</t>
    </r>
    <r>
      <rPr>
        <b/>
        <sz val="12"/>
        <color indexed="63"/>
        <rFont val="Times New Roman"/>
        <family val="1"/>
      </rPr>
      <t xml:space="preserve">     </t>
    </r>
    <r>
      <rPr>
        <b/>
        <sz val="12"/>
        <color indexed="63"/>
        <rFont val="Arial"/>
        <family val="2"/>
      </rPr>
      <t>Click the File tab and then click Options.</t>
    </r>
  </si>
  <si>
    <r>
      <t>2.</t>
    </r>
    <r>
      <rPr>
        <sz val="12"/>
        <color indexed="63"/>
        <rFont val="Times New Roman"/>
        <family val="1"/>
      </rPr>
      <t xml:space="preserve">     </t>
    </r>
    <r>
      <rPr>
        <b/>
        <sz val="12"/>
        <color indexed="63"/>
        <rFont val="Arial"/>
        <family val="2"/>
      </rPr>
      <t>Click the Trust Center tab and then click the Trust Center Settings button.</t>
    </r>
  </si>
  <si>
    <t>The Trust Center dialog box appears with the Macro Settings tab selected.</t>
  </si>
  <si>
    <r>
      <t>Select a security level:</t>
    </r>
    <r>
      <rPr>
        <b/>
        <sz val="9"/>
        <color indexed="63"/>
        <rFont val="Arial"/>
        <family val="2"/>
      </rPr>
      <t xml:space="preserve"> Enable all macros</t>
    </r>
  </si>
  <si>
    <r>
      <t>3.</t>
    </r>
    <r>
      <rPr>
        <b/>
        <sz val="12"/>
        <color indexed="63"/>
        <rFont val="Times New Roman"/>
        <family val="1"/>
      </rPr>
      <t xml:space="preserve">     </t>
    </r>
    <r>
      <rPr>
        <b/>
        <sz val="12"/>
        <color indexed="63"/>
        <rFont val="Arial"/>
        <family val="2"/>
      </rPr>
      <t>Close the excel file, reopen the file.</t>
    </r>
  </si>
  <si>
    <t>Follow these steps to view and set the macro security level in Excel 2007:</t>
  </si>
  <si>
    <r>
      <t>2.</t>
    </r>
    <r>
      <rPr>
        <sz val="12"/>
        <color indexed="23"/>
        <rFont val="Times New Roman"/>
        <family val="1"/>
      </rPr>
      <t xml:space="preserve">         </t>
    </r>
    <r>
      <rPr>
        <sz val="12"/>
        <color indexed="23"/>
        <rFont val="Segoe UI"/>
        <family val="2"/>
      </rPr>
      <t xml:space="preserve">Click </t>
    </r>
    <r>
      <rPr>
        <b/>
        <sz val="12"/>
        <color indexed="23"/>
        <rFont val="Segoe UI"/>
        <family val="2"/>
      </rPr>
      <t>Trust Center</t>
    </r>
    <r>
      <rPr>
        <sz val="12"/>
        <color indexed="23"/>
        <rFont val="Segoe UI"/>
        <family val="2"/>
      </rPr>
      <t xml:space="preserve">, click </t>
    </r>
    <r>
      <rPr>
        <b/>
        <sz val="12"/>
        <color indexed="23"/>
        <rFont val="Segoe UI"/>
        <family val="2"/>
      </rPr>
      <t>Trust Center Settings</t>
    </r>
    <r>
      <rPr>
        <sz val="12"/>
        <color indexed="23"/>
        <rFont val="Segoe UI"/>
        <family val="2"/>
      </rPr>
      <t xml:space="preserve">, and then click </t>
    </r>
    <r>
      <rPr>
        <b/>
        <sz val="12"/>
        <color indexed="23"/>
        <rFont val="Segoe UI"/>
        <family val="2"/>
      </rPr>
      <t>Macro Settings</t>
    </r>
    <r>
      <rPr>
        <sz val="12"/>
        <color indexed="23"/>
        <rFont val="Segoe UI"/>
        <family val="2"/>
      </rPr>
      <t>.</t>
    </r>
  </si>
  <si>
    <r>
      <t>3.</t>
    </r>
    <r>
      <rPr>
        <sz val="12"/>
        <color indexed="23"/>
        <rFont val="Times New Roman"/>
        <family val="1"/>
      </rPr>
      <t xml:space="preserve">         </t>
    </r>
    <r>
      <rPr>
        <sz val="12"/>
        <color indexed="23"/>
        <rFont val="Segoe UI"/>
        <family val="2"/>
      </rPr>
      <t>Click the options that you want:</t>
    </r>
  </si>
  <si>
    <r>
      <t>·</t>
    </r>
    <r>
      <rPr>
        <sz val="12"/>
        <color indexed="23"/>
        <rFont val="Times New Roman"/>
        <family val="1"/>
      </rPr>
      <t xml:space="preserve">         </t>
    </r>
    <r>
      <rPr>
        <b/>
        <sz val="12"/>
        <color indexed="23"/>
        <rFont val="Segoe UI"/>
        <family val="2"/>
      </rPr>
      <t>Enable all macros (not recommended, potentially dangerous code can run)</t>
    </r>
  </si>
  <si>
    <r>
      <t>·</t>
    </r>
    <r>
      <rPr>
        <sz val="12"/>
        <color indexed="23"/>
        <rFont val="Times New Roman"/>
        <family val="1"/>
      </rPr>
      <t xml:space="preserve">         </t>
    </r>
    <r>
      <rPr>
        <sz val="12"/>
        <color indexed="23"/>
        <rFont val="Segoe UI"/>
        <family val="2"/>
      </rPr>
      <t>Disable all macros without notification</t>
    </r>
  </si>
  <si>
    <r>
      <t>·</t>
    </r>
    <r>
      <rPr>
        <sz val="12"/>
        <color indexed="23"/>
        <rFont val="Times New Roman"/>
        <family val="1"/>
      </rPr>
      <t xml:space="preserve">         </t>
    </r>
    <r>
      <rPr>
        <sz val="12"/>
        <color indexed="23"/>
        <rFont val="Segoe UI"/>
        <family val="2"/>
      </rPr>
      <t>Disable all macros with notification</t>
    </r>
  </si>
  <si>
    <r>
      <t>·</t>
    </r>
    <r>
      <rPr>
        <sz val="12"/>
        <color indexed="23"/>
        <rFont val="Times New Roman"/>
        <family val="1"/>
      </rPr>
      <t xml:space="preserve">         </t>
    </r>
    <r>
      <rPr>
        <sz val="12"/>
        <color indexed="23"/>
        <rFont val="Segoe UI"/>
        <family val="2"/>
      </rPr>
      <t>Disable all macros except digitally signed macros </t>
    </r>
  </si>
  <si>
    <r>
      <t>·</t>
    </r>
    <r>
      <rPr>
        <sz val="12"/>
        <color indexed="23"/>
        <rFont val="Times New Roman"/>
        <family val="1"/>
      </rPr>
      <t xml:space="preserve">         </t>
    </r>
    <r>
      <rPr>
        <sz val="12"/>
        <color indexed="23"/>
        <rFont val="Segoe UI"/>
        <family val="2"/>
      </rPr>
      <t>Trust access to the VBA project object model </t>
    </r>
  </si>
  <si>
    <r>
      <t>1.</t>
    </r>
    <r>
      <rPr>
        <sz val="12"/>
        <color indexed="23"/>
        <rFont val="Times New Roman"/>
        <family val="1"/>
      </rPr>
      <t xml:space="preserve">         </t>
    </r>
    <r>
      <rPr>
        <sz val="12"/>
        <color indexed="23"/>
        <rFont val="Segoe UI"/>
        <family val="2"/>
      </rPr>
      <t xml:space="preserve">Click the </t>
    </r>
    <r>
      <rPr>
        <b/>
        <sz val="12"/>
        <color indexed="23"/>
        <rFont val="Segoe UI"/>
        <family val="2"/>
      </rPr>
      <t>Microsoft Office Button           and then click Excel Options.</t>
    </r>
  </si>
  <si>
    <t xml:space="preserve">Please read the "Discalimer" worksheet.  Use of this workbook represents acceptance of the terms of the Disclaimer.  </t>
  </si>
  <si>
    <t>(Note:  This notice will not print with the rest of the page.)</t>
  </si>
  <si>
    <r>
      <t xml:space="preserve"> Include Abatements for Truth in Taxation </t>
    </r>
    <r>
      <rPr>
        <sz val="10"/>
        <rFont val="Times New Roman"/>
        <family val="1"/>
      </rPr>
      <t>(35 ILCS 200/18-70)</t>
    </r>
  </si>
  <si>
    <t>(Total EAV - New Property)</t>
  </si>
  <si>
    <t>District Assumptions &amp; Data Entry</t>
  </si>
  <si>
    <t>Calculated Values</t>
  </si>
  <si>
    <t>Legend</t>
  </si>
  <si>
    <t>Original Assumptions</t>
  </si>
  <si>
    <t xml:space="preserve"> Includes Loss % Added by County Clerk(s)</t>
  </si>
  <si>
    <t>Review Needed</t>
  </si>
  <si>
    <t xml:space="preserve"> Includes New Property</t>
  </si>
  <si>
    <t>Scenario Assumptions</t>
  </si>
  <si>
    <t xml:space="preserve">District Number </t>
  </si>
  <si>
    <t xml:space="preserve">District Name </t>
  </si>
  <si>
    <t xml:space="preserve">County 2 </t>
  </si>
  <si>
    <t xml:space="preserve">County 3 </t>
  </si>
  <si>
    <t xml:space="preserve">County 4 </t>
  </si>
  <si>
    <t xml:space="preserve">PTELL - Tax Capped </t>
  </si>
  <si>
    <t xml:space="preserve">Original Tax Levy Certificate </t>
  </si>
  <si>
    <t xml:space="preserve">Amended Tax Levy Certificate </t>
  </si>
  <si>
    <t xml:space="preserve">Consumer Price Index </t>
  </si>
  <si>
    <t xml:space="preserve">Total % Change From Prior Year </t>
  </si>
  <si>
    <t xml:space="preserve">No. of Tax Levied Bond Issues Outstanding </t>
  </si>
  <si>
    <t xml:space="preserve">Tax Levy Year </t>
  </si>
  <si>
    <t xml:space="preserve">Municipal Retirement </t>
  </si>
  <si>
    <t xml:space="preserve">Social Security </t>
  </si>
  <si>
    <t xml:space="preserve">Custom Fund Name </t>
  </si>
  <si>
    <t>Prior Year Extension</t>
  </si>
  <si>
    <t xml:space="preserve">Limiting Rate </t>
  </si>
  <si>
    <t xml:space="preserve">Estimated Capped Extension </t>
  </si>
  <si>
    <t xml:space="preserve">Estimated Bond and Interest Levy </t>
  </si>
  <si>
    <t xml:space="preserve">Total Levy </t>
  </si>
  <si>
    <t xml:space="preserve">Aggregate or County 1 </t>
  </si>
  <si>
    <t xml:space="preserve">Cook County Prior Year EAV Limit </t>
  </si>
  <si>
    <t xml:space="preserve"> Enter District Name</t>
  </si>
  <si>
    <t xml:space="preserve"> Enter District Number</t>
  </si>
  <si>
    <t xml:space="preserve"> Choose Yes or No</t>
  </si>
  <si>
    <t xml:space="preserve"> Enter Estimated New Property</t>
  </si>
  <si>
    <t xml:space="preserve"> Flow-through to Certificate of Tax Levy, Verify Records with County Clerk(s)</t>
  </si>
  <si>
    <t xml:space="preserve"> Enter What If...? Existing EAV Assumption or, Final Actual to Stress Test the Levy</t>
  </si>
  <si>
    <t xml:space="preserve"> Enter What If...? New Property Assumption or, Final Actual to Stress Test the Levy</t>
  </si>
  <si>
    <t xml:space="preserve">Capped Extension </t>
  </si>
  <si>
    <t xml:space="preserve">Reduction Factor </t>
  </si>
  <si>
    <t xml:space="preserve"> Does This Levy Capture All Available Property Taxes Under These Assumptions?</t>
  </si>
  <si>
    <t>County Loss %</t>
  </si>
  <si>
    <t>Final Tax Rate</t>
  </si>
  <si>
    <t>Spring Extension Adjustment Between Funds</t>
  </si>
  <si>
    <t>Final Adjusted Extension</t>
  </si>
  <si>
    <t>Final Adjusted Tax Rate</t>
  </si>
  <si>
    <t>(County Clerk Levies Bond &amp; Interest for the District, Verify Records with County Clerk)</t>
  </si>
  <si>
    <t>Total Levy with County Loss %</t>
  </si>
  <si>
    <t xml:space="preserve"> Enter County 2 Name to Itemize County Extension Below</t>
  </si>
  <si>
    <t xml:space="preserve"> Enter County 4 Name to Itemize County Extension Below</t>
  </si>
  <si>
    <t xml:space="preserve"> Enter County 3 Name to Itemize County Extension Below</t>
  </si>
  <si>
    <t xml:space="preserve"> Enter County 1 Name or Enter "Aggregate" to enter Aggregate Extension Below</t>
  </si>
  <si>
    <t xml:space="preserve">Input Statutory Maximum Tax Rate </t>
  </si>
  <si>
    <t>Statutory Maximum Tax Rate</t>
  </si>
  <si>
    <t>Truth in Taxation Required</t>
  </si>
  <si>
    <t>Does Levy Amount Exceed Estimated Maximum Extension?</t>
  </si>
  <si>
    <t>Scenario Calculated Tax Rate</t>
  </si>
  <si>
    <t xml:space="preserve">Bond &amp; Interest Extension </t>
  </si>
  <si>
    <t xml:space="preserve">Total Extension </t>
  </si>
  <si>
    <t>Actual Total Extension/Rate</t>
  </si>
  <si>
    <t xml:space="preserve">Bond &amp; Interest Levy </t>
  </si>
  <si>
    <t>Current Levy Amount</t>
  </si>
  <si>
    <t xml:space="preserve">Actual Bond &amp; Interest Extension/Rate </t>
  </si>
  <si>
    <t xml:space="preserve">Bond &amp; Int. Levy </t>
  </si>
  <si>
    <t>Original Estimate</t>
  </si>
  <si>
    <t>Scenario Actual</t>
  </si>
  <si>
    <t>Levy Increase %</t>
  </si>
  <si>
    <t xml:space="preserve">Final Levy Amount </t>
  </si>
  <si>
    <t xml:space="preserve">Please read the "Disclaimer" worksheet.  Use of this workbook represents acceptance of the terms of the Disclaimer.  </t>
  </si>
  <si>
    <t>Special Recreation</t>
  </si>
  <si>
    <t>Special Recreation Levy</t>
  </si>
  <si>
    <t>Target Rate for Special Recreation Levy</t>
  </si>
  <si>
    <t>Estimated Special Recreation Levy</t>
  </si>
  <si>
    <t>Lesser of 5% or Consumer Price Index</t>
  </si>
  <si>
    <t>Note, do not include the amount of PTAB revenue recapture added to the extension pursuant to Public Act 102-0519.</t>
  </si>
  <si>
    <r>
      <rPr>
        <b/>
        <u/>
        <sz val="9"/>
        <rFont val="Times New Roman"/>
        <family val="1"/>
      </rPr>
      <t>Critical Assumptions</t>
    </r>
    <r>
      <rPr>
        <b/>
        <sz val="9"/>
        <rFont val="Times New Roman"/>
        <family val="1"/>
      </rPr>
      <t xml:space="preserve"> - Formulas in this workbook are dependent on assumptions entered for PTELL &amp; Cook County questions</t>
    </r>
  </si>
  <si>
    <t>Cook</t>
  </si>
  <si>
    <t>Will</t>
  </si>
  <si>
    <t>DuPage</t>
  </si>
  <si>
    <t>Estimated Museum Levy</t>
  </si>
  <si>
    <t>Museum</t>
  </si>
  <si>
    <t>Lake</t>
  </si>
  <si>
    <t>Scenario Assumptions from Extension Tab</t>
  </si>
  <si>
    <t>Taxpayer Impact</t>
  </si>
  <si>
    <t>LY22</t>
  </si>
  <si>
    <t>Includes EAV % Change</t>
  </si>
  <si>
    <t>Total Assessed Value</t>
  </si>
  <si>
    <t>State Equalization Multiplier</t>
  </si>
  <si>
    <t>McHenry</t>
  </si>
  <si>
    <t>Kane</t>
  </si>
  <si>
    <t>Based on County 1 on the input tab</t>
  </si>
  <si>
    <t xml:space="preserve"> Includes Loss Cost</t>
  </si>
  <si>
    <t>Bond &amp; Interest Lost Cost (%)</t>
  </si>
  <si>
    <t>Net Equalized Assessed Value</t>
  </si>
  <si>
    <t>Bond &amp; Interest Abatement</t>
  </si>
  <si>
    <t xml:space="preserve">Enter debt service to be abated </t>
  </si>
  <si>
    <t>Bond &amp; Interest Rate Abatement</t>
  </si>
  <si>
    <t>Cannot exceed estimated B&amp;I Tax Rate</t>
  </si>
  <si>
    <t>Total Prior Year's Tax Rate</t>
  </si>
  <si>
    <t>Original Assumptions from Calculations Tab</t>
  </si>
  <si>
    <t>Note, if the B&amp;I levy on the "Calculations" tab was reduced by an expected abatement, it will need to be removed to prevent double counting the abatement.</t>
  </si>
  <si>
    <t>Estimated Special Recreation Rate</t>
  </si>
  <si>
    <t>Estimated Museum Rate</t>
  </si>
  <si>
    <t>Museum Levy</t>
  </si>
  <si>
    <t xml:space="preserve">Actual Special Recreation Extension/Rate </t>
  </si>
  <si>
    <t xml:space="preserve">Actual Museum Extension/Rate </t>
  </si>
  <si>
    <t>If the actual Bond &amp; Interest extension is known and input on the "Extension" tab in cell I41, no input is needed for the Loss Cost and Abatement cells.</t>
  </si>
  <si>
    <t xml:space="preserve">Corporate </t>
  </si>
  <si>
    <t xml:space="preserve">Working Cash Funds </t>
  </si>
  <si>
    <t xml:space="preserve">Police Protection </t>
  </si>
  <si>
    <t xml:space="preserve">Auditing </t>
  </si>
  <si>
    <t xml:space="preserve">Unemployment Insurance </t>
  </si>
  <si>
    <t xml:space="preserve">Workman's Compensation </t>
  </si>
  <si>
    <t xml:space="preserve">Recreation </t>
  </si>
  <si>
    <t xml:space="preserve">Paving/Lighting </t>
  </si>
  <si>
    <t xml:space="preserve">Liability Insurance </t>
  </si>
  <si>
    <t xml:space="preserve">Public Benefit </t>
  </si>
  <si>
    <t xml:space="preserve">Custom 2 </t>
  </si>
  <si>
    <t xml:space="preserve">Custom 1 </t>
  </si>
  <si>
    <t xml:space="preserve">Custom 3 </t>
  </si>
  <si>
    <t>Police and Safety</t>
  </si>
  <si>
    <t>Homestead Exemption</t>
  </si>
  <si>
    <t>If you have a question, please contact any member of our municipal advisory team listed below:</t>
  </si>
  <si>
    <t>Bob Lewis:</t>
  </si>
  <si>
    <t>Steve Adams:</t>
  </si>
  <si>
    <t>Andrew Kim:</t>
  </si>
  <si>
    <t xml:space="preserve"> If entering a dollar amount for EAV, please select "Yes," if growth %, please select "No"</t>
  </si>
  <si>
    <t>Cook County</t>
  </si>
  <si>
    <t>Triennial Reassessment Cycle</t>
  </si>
  <si>
    <t>North Suburbs - 2025</t>
  </si>
  <si>
    <t>South &amp; West Suburbs - 2026</t>
  </si>
  <si>
    <t>It does not include the recapture levy or property taxes paid for other District purposes and to other governments. Actual tax rates and payments may vary based on District-wide EAV growth, individual homeowner reassessment, State Law changes, property tax rate initiatives and other factors.</t>
  </si>
  <si>
    <t>NOTICE OF PROPOSED PROPERTY TAX INCREASE FOR</t>
  </si>
  <si>
    <t>District Information</t>
  </si>
  <si>
    <t>I.</t>
  </si>
  <si>
    <t>District Name:</t>
  </si>
  <si>
    <t>Hearing Date:</t>
  </si>
  <si>
    <t>Hearing Address:</t>
  </si>
  <si>
    <t>Hearing Municipality:</t>
  </si>
  <si>
    <t>Any person desiring to appear at the public hearing and present testimony to the taxing</t>
  </si>
  <si>
    <t>Hearing Zip Code:</t>
  </si>
  <si>
    <t>District contact name:</t>
  </si>
  <si>
    <t>District contact email address:</t>
  </si>
  <si>
    <t>II.</t>
  </si>
  <si>
    <t>III.</t>
  </si>
  <si>
    <t>IV.</t>
  </si>
  <si>
    <t>Public Safety and Security</t>
  </si>
  <si>
    <t>*Please use an apostrophe (') in front of the Hearing Time.</t>
  </si>
  <si>
    <t>City of Chicago - 2027</t>
  </si>
  <si>
    <t>Hearing Time*:</t>
  </si>
  <si>
    <t>andrew.kim@ptma.com</t>
  </si>
  <si>
    <t>steve.adams@ptma.com</t>
  </si>
  <si>
    <t>Helpful Reminder - Districts assuming EAV growth should over levy for Special Recreation in cell G37.</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</si>
</sst>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7" formatCode="&quot;$&quot;#,##0.00_);\(&quot;$&quot;#,##0.00\)"/>
    <numFmt numFmtId="43" formatCode="_(* #,##0.00_);_(* \(#,##0.00\);_(* &quot;-&quot;??_);_(@_)"/>
    <numFmt numFmtId="164" formatCode="[$$-409]#,##0.00_);[Red]\([$$-409]#,##0.00\)"/>
    <numFmt numFmtId="165" formatCode="0.000%"/>
    <numFmt numFmtId="166" formatCode="[$$-409]#,##0.00_);\([$$-409]#,##0.00\)"/>
    <numFmt numFmtId="167" formatCode="[$$-409]#,##0_);[Red]\([$$-409]#,##0\)"/>
    <numFmt numFmtId="168" formatCode="0.0000%"/>
    <numFmt numFmtId="169" formatCode="0.0000"/>
    <numFmt numFmtId="170" formatCode="0.000"/>
    <numFmt numFmtId="171" formatCode="#,##0.000_);\(#,##0.000\)"/>
    <numFmt numFmtId="172" formatCode="[$$-409]#,##0.0000_);[Red]\([$$-409]#,##0.0000\)"/>
    <numFmt numFmtId="173" formatCode="0.0%"/>
    <numFmt numFmtId="174" formatCode="&quot;$&quot;#,##0"/>
    <numFmt numFmtId="175" formatCode="[$-F800]dddd\,\ mmmm\ dd\,\ yyyy"/>
    <numFmt numFmtId="176" formatCode="[$-F400]h:mm:ss\ AM/PM"/>
    <numFmt numFmtId="177" formatCode="_(&quot;$&quot;* #,##0_);_(&quot;$&quot;* \(#,##0\);_(&quot;$&quot;* &quot;-&quot;??_);_(@_)"/>
    <numFmt numFmtId="178" formatCode="&quot;. This represents a&quot;\ 0.00%\ &quot;increase over the previous year&quot;"/>
  </numFmts>
  <fonts count="55" x14ac:knownFonts="1">
    <font>
      <sz val="10"/>
      <name val="Arial"/>
    </font>
    <font>
      <sz val="10"/>
      <name val="Arial"/>
      <family val="2"/>
    </font>
    <font>
      <b/>
      <sz val="12"/>
      <name val="Arial"/>
      <family val="2"/>
    </font>
    <font>
      <sz val="8"/>
      <name val="Arial"/>
      <family val="2"/>
    </font>
    <font>
      <sz val="10"/>
      <name val="Times New Roman"/>
      <family val="1"/>
    </font>
    <font>
      <b/>
      <sz val="12"/>
      <name val="Times New Roman"/>
      <family val="1"/>
    </font>
    <font>
      <b/>
      <sz val="14"/>
      <name val="Times New Roman"/>
      <family val="1"/>
    </font>
    <font>
      <i/>
      <sz val="10"/>
      <name val="Times New Roman"/>
      <family val="1"/>
    </font>
    <font>
      <b/>
      <sz val="10"/>
      <color indexed="10"/>
      <name val="Times New Roman"/>
      <family val="1"/>
    </font>
    <font>
      <b/>
      <sz val="10"/>
      <name val="Times New Roman"/>
      <family val="1"/>
    </font>
    <font>
      <b/>
      <u/>
      <sz val="12"/>
      <name val="Times New Roman"/>
      <family val="1"/>
    </font>
    <font>
      <b/>
      <sz val="12"/>
      <color indexed="10"/>
      <name val="Times New Roman"/>
      <family val="1"/>
    </font>
    <font>
      <sz val="8"/>
      <name val="Times New Roman"/>
      <family val="1"/>
    </font>
    <font>
      <b/>
      <sz val="12"/>
      <color indexed="63"/>
      <name val="Arial"/>
      <family val="2"/>
    </font>
    <font>
      <b/>
      <sz val="12"/>
      <color indexed="63"/>
      <name val="Times New Roman"/>
      <family val="1"/>
    </font>
    <font>
      <sz val="12"/>
      <name val="Arial"/>
      <family val="2"/>
    </font>
    <font>
      <b/>
      <sz val="9"/>
      <color indexed="63"/>
      <name val="Arial"/>
      <family val="2"/>
    </font>
    <font>
      <sz val="11"/>
      <name val="Calibri"/>
      <family val="2"/>
    </font>
    <font>
      <sz val="12"/>
      <color indexed="63"/>
      <name val="Times New Roman"/>
      <family val="1"/>
    </font>
    <font>
      <sz val="12"/>
      <color indexed="23"/>
      <name val="Segoe UI"/>
      <family val="2"/>
    </font>
    <font>
      <sz val="12"/>
      <color indexed="23"/>
      <name val="Times New Roman"/>
      <family val="1"/>
    </font>
    <font>
      <b/>
      <sz val="12"/>
      <color indexed="23"/>
      <name val="Segoe UI"/>
      <family val="2"/>
    </font>
    <font>
      <sz val="14"/>
      <name val="Arial"/>
      <family val="2"/>
    </font>
    <font>
      <b/>
      <sz val="14"/>
      <name val="Arial"/>
      <family val="2"/>
    </font>
    <font>
      <b/>
      <sz val="12"/>
      <color rgb="FF333333"/>
      <name val="Arial"/>
      <family val="2"/>
    </font>
    <font>
      <sz val="9"/>
      <color rgb="FF333333"/>
      <name val="Arial"/>
      <family val="2"/>
    </font>
    <font>
      <b/>
      <sz val="9"/>
      <color rgb="FF333333"/>
      <name val="Arial"/>
      <family val="2"/>
    </font>
    <font>
      <sz val="12"/>
      <color rgb="FF333333"/>
      <name val="Arial"/>
      <family val="2"/>
    </font>
    <font>
      <sz val="7"/>
      <color rgb="FF454545"/>
      <name val="Segoe UI"/>
      <family val="2"/>
    </font>
    <font>
      <sz val="12"/>
      <color rgb="FF666666"/>
      <name val="Segoe UI"/>
      <family val="2"/>
    </font>
    <font>
      <sz val="12"/>
      <color rgb="FF666666"/>
      <name val="Symbol"/>
      <family val="1"/>
      <charset val="2"/>
    </font>
    <font>
      <b/>
      <sz val="14"/>
      <color rgb="FF333333"/>
      <name val="Arial"/>
      <family val="2"/>
    </font>
    <font>
      <b/>
      <sz val="12"/>
      <color theme="0"/>
      <name val="Times New Roman"/>
      <family val="1"/>
    </font>
    <font>
      <sz val="10"/>
      <color theme="0"/>
      <name val="Times New Roman"/>
      <family val="1"/>
    </font>
    <font>
      <i/>
      <sz val="9"/>
      <name val="Times New Roman"/>
      <family val="1"/>
    </font>
    <font>
      <b/>
      <u/>
      <sz val="10"/>
      <name val="Times New Roman"/>
      <family val="1"/>
    </font>
    <font>
      <b/>
      <sz val="10"/>
      <color theme="1"/>
      <name val="Times New Roman"/>
      <family val="1"/>
    </font>
    <font>
      <sz val="10"/>
      <color theme="1"/>
      <name val="Times New Roman"/>
      <family val="1"/>
    </font>
    <font>
      <b/>
      <sz val="9"/>
      <name val="Times New Roman"/>
      <family val="1"/>
    </font>
    <font>
      <b/>
      <u/>
      <sz val="9"/>
      <name val="Times New Roman"/>
      <family val="1"/>
    </font>
    <font>
      <sz val="10"/>
      <color theme="0" tint="-4.9989318521683403E-2"/>
      <name val="Times New Roman"/>
      <family val="1"/>
    </font>
    <font>
      <sz val="9"/>
      <name val="Times New Roman"/>
      <family val="1"/>
    </font>
    <font>
      <sz val="10"/>
      <color theme="1" tint="0.34998626667073579"/>
      <name val="Arial"/>
      <family val="2"/>
    </font>
    <font>
      <b/>
      <sz val="10"/>
      <color theme="0"/>
      <name val="Times New Roman"/>
      <family val="1"/>
    </font>
    <font>
      <i/>
      <sz val="10"/>
      <color theme="0"/>
      <name val="Times New Roman"/>
      <family val="1"/>
    </font>
    <font>
      <i/>
      <sz val="9"/>
      <color theme="0"/>
      <name val="Times New Roman"/>
      <family val="1"/>
    </font>
    <font>
      <sz val="8"/>
      <color theme="0"/>
      <name val="Times New Roman"/>
      <family val="1"/>
    </font>
    <font>
      <u/>
      <sz val="10"/>
      <color theme="10"/>
      <name val="Arial"/>
      <family val="2"/>
    </font>
    <font>
      <u/>
      <sz val="10"/>
      <color theme="0"/>
      <name val="Times New Roman"/>
      <family val="1"/>
    </font>
    <font>
      <sz val="12"/>
      <name val="Times New Roman"/>
      <family val="1"/>
    </font>
    <font>
      <u/>
      <sz val="11"/>
      <name val="Times New Roman"/>
      <family val="1"/>
    </font>
    <font>
      <sz val="11"/>
      <name val="Times New Roman"/>
      <family val="1"/>
    </font>
    <font>
      <sz val="12"/>
      <color theme="0"/>
      <name val="Times New Roman"/>
      <family val="1"/>
    </font>
    <font>
      <b/>
      <i/>
      <sz val="12"/>
      <name val="Times New Roman"/>
      <family val="1"/>
    </font>
    <font>
      <u/>
      <sz val="12"/>
      <color theme="10"/>
      <name val="Times New Roman"/>
      <family val="1"/>
    </font>
  </fonts>
  <fills count="11">
    <fill>
      <patternFill patternType="none"/>
    </fill>
    <fill>
      <patternFill patternType="gray125"/>
    </fill>
    <fill>
      <patternFill patternType="solid">
        <fgColor indexed="8"/>
        <bgColor indexed="64"/>
      </patternFill>
    </fill>
    <fill>
      <patternFill patternType="solid">
        <fgColor indexed="42"/>
        <bgColor indexed="64"/>
      </patternFill>
    </fill>
    <fill>
      <patternFill patternType="solid">
        <fgColor theme="0"/>
        <bgColor indexed="64"/>
      </patternFill>
    </fill>
    <fill>
      <patternFill patternType="solid">
        <fgColor rgb="FFCCFFCC"/>
        <bgColor indexed="64"/>
      </patternFill>
    </fill>
    <fill>
      <patternFill patternType="solid">
        <fgColor theme="1"/>
        <bgColor indexed="64"/>
      </patternFill>
    </fill>
    <fill>
      <patternFill patternType="solid">
        <fgColor theme="4" tint="0.79998168889431442"/>
        <bgColor indexed="64"/>
      </patternFill>
    </fill>
    <fill>
      <patternFill patternType="solid">
        <fgColor theme="5" tint="0.59999389629810485"/>
        <bgColor indexed="64"/>
      </patternFill>
    </fill>
    <fill>
      <patternFill patternType="solid">
        <fgColor theme="0" tint="-4.9989318521683403E-2"/>
        <bgColor indexed="64"/>
      </patternFill>
    </fill>
    <fill>
      <patternFill patternType="solid">
        <fgColor rgb="FFDCE6F1"/>
        <bgColor indexed="64"/>
      </patternFill>
    </fill>
  </fills>
  <borders count="20">
    <border>
      <left/>
      <right/>
      <top/>
      <bottom/>
      <diagonal/>
    </border>
    <border>
      <left style="thin">
        <color indexed="64"/>
      </left>
      <right style="thin">
        <color indexed="64"/>
      </right>
      <top style="thin">
        <color indexed="64"/>
      </top>
      <bottom style="thin">
        <color indexed="64"/>
      </bottom>
      <diagonal/>
    </border>
    <border>
      <left style="thin">
        <color indexed="64"/>
      </left>
      <right/>
      <top/>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right/>
      <top style="thin">
        <color indexed="64"/>
      </top>
      <bottom/>
      <diagonal/>
    </border>
    <border>
      <left/>
      <right/>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thin">
        <color indexed="64"/>
      </bottom>
      <diagonal/>
    </border>
  </borders>
  <cellStyleXfs count="5">
    <xf numFmtId="0" fontId="0" fillId="0" borderId="0"/>
    <xf numFmtId="43" fontId="1" fillId="0" borderId="0" applyFont="0" applyFill="0" applyBorder="0" applyAlignment="0" applyProtection="0"/>
    <xf numFmtId="9" fontId="1" fillId="0" borderId="0" applyFont="0" applyFill="0" applyBorder="0" applyAlignment="0" applyProtection="0"/>
    <xf numFmtId="0" fontId="1" fillId="0" borderId="0"/>
    <xf numFmtId="0" fontId="47" fillId="0" borderId="0" applyNumberFormat="0" applyFill="0" applyBorder="0" applyAlignment="0" applyProtection="0"/>
  </cellStyleXfs>
  <cellXfs count="311">
    <xf numFmtId="0" fontId="0" fillId="0" borderId="0" xfId="0"/>
    <xf numFmtId="0" fontId="4" fillId="0" borderId="0" xfId="0" applyFont="1" applyProtection="1">
      <protection hidden="1"/>
    </xf>
    <xf numFmtId="0" fontId="5" fillId="0" borderId="0" xfId="0" applyFont="1" applyAlignment="1" applyProtection="1">
      <alignment horizontal="right"/>
      <protection hidden="1"/>
    </xf>
    <xf numFmtId="164" fontId="4" fillId="0" borderId="0" xfId="0" applyNumberFormat="1" applyFont="1" applyProtection="1">
      <protection hidden="1"/>
    </xf>
    <xf numFmtId="164" fontId="5" fillId="0" borderId="0" xfId="0" applyNumberFormat="1" applyFont="1" applyProtection="1">
      <protection hidden="1"/>
    </xf>
    <xf numFmtId="0" fontId="5" fillId="0" borderId="0" xfId="0" applyFont="1" applyAlignment="1" applyProtection="1">
      <alignment horizontal="right" vertical="center"/>
      <protection hidden="1"/>
    </xf>
    <xf numFmtId="165" fontId="5" fillId="0" borderId="0" xfId="2" applyNumberFormat="1" applyFont="1" applyBorder="1" applyAlignment="1" applyProtection="1">
      <alignment horizontal="center"/>
      <protection hidden="1"/>
    </xf>
    <xf numFmtId="164" fontId="5" fillId="0" borderId="0" xfId="0" applyNumberFormat="1" applyFont="1" applyAlignment="1" applyProtection="1">
      <alignment horizontal="center"/>
      <protection hidden="1"/>
    </xf>
    <xf numFmtId="0" fontId="9" fillId="0" borderId="0" xfId="0" applyFont="1" applyAlignment="1" applyProtection="1">
      <alignment horizontal="center" wrapText="1"/>
      <protection hidden="1"/>
    </xf>
    <xf numFmtId="0" fontId="9" fillId="0" borderId="0" xfId="0" applyFont="1" applyAlignment="1" applyProtection="1">
      <alignment horizontal="center"/>
      <protection hidden="1"/>
    </xf>
    <xf numFmtId="164" fontId="4" fillId="0" borderId="2" xfId="0" applyNumberFormat="1" applyFont="1" applyBorder="1" applyProtection="1">
      <protection hidden="1"/>
    </xf>
    <xf numFmtId="0" fontId="0" fillId="0" borderId="0" xfId="0" applyProtection="1">
      <protection hidden="1"/>
    </xf>
    <xf numFmtId="0" fontId="4" fillId="0" borderId="0" xfId="0" applyFont="1" applyAlignment="1" applyProtection="1">
      <alignment horizontal="center"/>
      <protection hidden="1"/>
    </xf>
    <xf numFmtId="0" fontId="4" fillId="3" borderId="0" xfId="0" applyFont="1" applyFill="1" applyAlignment="1" applyProtection="1">
      <alignment horizontal="right"/>
      <protection hidden="1"/>
    </xf>
    <xf numFmtId="0" fontId="4" fillId="3" borderId="0" xfId="0" applyFont="1" applyFill="1" applyProtection="1">
      <protection hidden="1"/>
    </xf>
    <xf numFmtId="0" fontId="4" fillId="3" borderId="0" xfId="0" applyFont="1" applyFill="1" applyAlignment="1" applyProtection="1">
      <alignment horizontal="center"/>
      <protection hidden="1"/>
    </xf>
    <xf numFmtId="0" fontId="24" fillId="0" borderId="0" xfId="0" applyFont="1" applyAlignment="1">
      <alignment horizontal="left" vertical="center" indent="2"/>
    </xf>
    <xf numFmtId="0" fontId="15" fillId="0" borderId="0" xfId="0" applyFont="1"/>
    <xf numFmtId="0" fontId="25" fillId="0" borderId="0" xfId="0" applyFont="1" applyAlignment="1">
      <alignment horizontal="left" vertical="center" indent="2"/>
    </xf>
    <xf numFmtId="0" fontId="17" fillId="0" borderId="0" xfId="0" applyFont="1" applyAlignment="1">
      <alignment horizontal="left" vertical="center" indent="2"/>
    </xf>
    <xf numFmtId="0" fontId="17" fillId="0" borderId="0" xfId="0" applyFont="1" applyAlignment="1">
      <alignment vertical="center"/>
    </xf>
    <xf numFmtId="0" fontId="26" fillId="0" borderId="0" xfId="0" applyFont="1" applyAlignment="1">
      <alignment horizontal="left"/>
    </xf>
    <xf numFmtId="0" fontId="27" fillId="0" borderId="0" xfId="0" applyFont="1" applyAlignment="1">
      <alignment horizontal="left" vertical="center" indent="2"/>
    </xf>
    <xf numFmtId="0" fontId="2" fillId="0" borderId="0" xfId="0" applyFont="1"/>
    <xf numFmtId="0" fontId="28" fillId="0" borderId="0" xfId="0" applyFont="1" applyAlignment="1">
      <alignment vertical="center"/>
    </xf>
    <xf numFmtId="0" fontId="29" fillId="0" borderId="0" xfId="0" applyFont="1" applyAlignment="1">
      <alignment horizontal="left" vertical="center" indent="12"/>
    </xf>
    <xf numFmtId="0" fontId="15" fillId="0" borderId="0" xfId="0" applyFont="1" applyAlignment="1">
      <alignment horizontal="left" indent="13"/>
    </xf>
    <xf numFmtId="0" fontId="29" fillId="0" borderId="0" xfId="0" applyFont="1" applyAlignment="1">
      <alignment horizontal="left" vertical="center" indent="14"/>
    </xf>
    <xf numFmtId="0" fontId="24" fillId="0" borderId="0" xfId="0" applyFont="1" applyAlignment="1">
      <alignment horizontal="left" vertical="center" indent="13"/>
    </xf>
    <xf numFmtId="0" fontId="2" fillId="0" borderId="0" xfId="0" applyFont="1" applyAlignment="1">
      <alignment horizontal="left" indent="13"/>
    </xf>
    <xf numFmtId="0" fontId="15" fillId="0" borderId="0" xfId="0" applyFont="1" applyAlignment="1">
      <alignment horizontal="left" indent="25"/>
    </xf>
    <xf numFmtId="0" fontId="15" fillId="0" borderId="0" xfId="0" applyFont="1" applyAlignment="1">
      <alignment horizontal="left" indent="14"/>
    </xf>
    <xf numFmtId="0" fontId="15" fillId="0" borderId="0" xfId="0" applyFont="1" applyAlignment="1">
      <alignment horizontal="left" indent="12"/>
    </xf>
    <xf numFmtId="0" fontId="30" fillId="0" borderId="0" xfId="0" applyFont="1" applyAlignment="1">
      <alignment horizontal="left" vertical="center" indent="16"/>
    </xf>
    <xf numFmtId="0" fontId="15" fillId="0" borderId="0" xfId="0" applyFont="1" applyAlignment="1">
      <alignment horizontal="left" indent="21"/>
    </xf>
    <xf numFmtId="0" fontId="24" fillId="0" borderId="0" xfId="0" applyFont="1" applyAlignment="1">
      <alignment horizontal="left" vertical="center" indent="21"/>
    </xf>
    <xf numFmtId="0" fontId="22" fillId="0" borderId="0" xfId="0" applyFont="1"/>
    <xf numFmtId="0" fontId="31" fillId="0" borderId="0" xfId="0" applyFont="1" applyAlignment="1">
      <alignment horizontal="left" vertical="center"/>
    </xf>
    <xf numFmtId="0" fontId="23" fillId="0" borderId="0" xfId="0" applyFont="1" applyAlignment="1">
      <alignment horizontal="left"/>
    </xf>
    <xf numFmtId="0" fontId="22" fillId="0" borderId="0" xfId="0" applyFont="1" applyAlignment="1">
      <alignment horizontal="left"/>
    </xf>
    <xf numFmtId="0" fontId="31" fillId="0" borderId="0" xfId="0" applyFont="1" applyAlignment="1">
      <alignment vertical="center"/>
    </xf>
    <xf numFmtId="0" fontId="23" fillId="0" borderId="0" xfId="0" applyFont="1"/>
    <xf numFmtId="167" fontId="5" fillId="0" borderId="3" xfId="0" applyNumberFormat="1" applyFont="1" applyBorder="1" applyProtection="1">
      <protection hidden="1"/>
    </xf>
    <xf numFmtId="0" fontId="5" fillId="0" borderId="0" xfId="0" applyFont="1" applyAlignment="1" applyProtection="1">
      <alignment vertical="center"/>
      <protection hidden="1"/>
    </xf>
    <xf numFmtId="0" fontId="10" fillId="0" borderId="0" xfId="0" applyFont="1" applyProtection="1">
      <protection hidden="1"/>
    </xf>
    <xf numFmtId="0" fontId="5" fillId="0" borderId="0" xfId="0" applyFont="1" applyProtection="1">
      <protection hidden="1"/>
    </xf>
    <xf numFmtId="167" fontId="9" fillId="0" borderId="0" xfId="0" applyNumberFormat="1" applyFont="1" applyProtection="1">
      <protection hidden="1"/>
    </xf>
    <xf numFmtId="0" fontId="9" fillId="0" borderId="0" xfId="0" applyFont="1" applyAlignment="1" applyProtection="1">
      <alignment horizontal="right"/>
      <protection hidden="1"/>
    </xf>
    <xf numFmtId="0" fontId="4" fillId="0" borderId="0" xfId="0" applyFont="1" applyAlignment="1" applyProtection="1">
      <alignment horizontal="right"/>
      <protection hidden="1"/>
    </xf>
    <xf numFmtId="0" fontId="5" fillId="0" borderId="0" xfId="0" applyFont="1" applyAlignment="1" applyProtection="1">
      <alignment horizontal="center"/>
      <protection hidden="1"/>
    </xf>
    <xf numFmtId="0" fontId="7" fillId="0" borderId="0" xfId="0" applyFont="1" applyProtection="1">
      <protection hidden="1"/>
    </xf>
    <xf numFmtId="0" fontId="12" fillId="0" borderId="0" xfId="0" applyFont="1" applyProtection="1">
      <protection hidden="1"/>
    </xf>
    <xf numFmtId="0" fontId="34" fillId="0" borderId="0" xfId="0" applyFont="1" applyProtection="1">
      <protection hidden="1"/>
    </xf>
    <xf numFmtId="167" fontId="4" fillId="7" borderId="1" xfId="0" applyNumberFormat="1" applyFont="1" applyFill="1" applyBorder="1" applyProtection="1">
      <protection hidden="1"/>
    </xf>
    <xf numFmtId="167" fontId="4" fillId="5" borderId="10" xfId="0" applyNumberFormat="1" applyFont="1" applyFill="1" applyBorder="1" applyProtection="1">
      <protection locked="0"/>
    </xf>
    <xf numFmtId="167" fontId="4" fillId="5" borderId="1" xfId="0" applyNumberFormat="1" applyFont="1" applyFill="1" applyBorder="1" applyProtection="1">
      <protection locked="0"/>
    </xf>
    <xf numFmtId="168" fontId="5" fillId="7" borderId="1" xfId="2" applyNumberFormat="1" applyFont="1" applyFill="1" applyBorder="1" applyAlignment="1" applyProtection="1">
      <alignment horizontal="center"/>
      <protection hidden="1"/>
    </xf>
    <xf numFmtId="10" fontId="9" fillId="5" borderId="1" xfId="0" applyNumberFormat="1" applyFont="1" applyFill="1" applyBorder="1" applyAlignment="1" applyProtection="1">
      <alignment horizontal="center"/>
      <protection locked="0"/>
    </xf>
    <xf numFmtId="167" fontId="5" fillId="7" borderId="1" xfId="0" applyNumberFormat="1" applyFont="1" applyFill="1" applyBorder="1" applyAlignment="1" applyProtection="1">
      <alignment horizontal="center"/>
      <protection hidden="1"/>
    </xf>
    <xf numFmtId="164" fontId="4" fillId="7" borderId="1" xfId="0" applyNumberFormat="1" applyFont="1" applyFill="1" applyBorder="1" applyProtection="1">
      <protection hidden="1"/>
    </xf>
    <xf numFmtId="164" fontId="4" fillId="5" borderId="1" xfId="0" applyNumberFormat="1" applyFont="1" applyFill="1" applyBorder="1" applyProtection="1">
      <protection locked="0"/>
    </xf>
    <xf numFmtId="167" fontId="5" fillId="7" borderId="1" xfId="0" applyNumberFormat="1" applyFont="1" applyFill="1" applyBorder="1" applyProtection="1">
      <protection hidden="1"/>
    </xf>
    <xf numFmtId="164" fontId="5" fillId="7" borderId="1" xfId="0" applyNumberFormat="1" applyFont="1" applyFill="1" applyBorder="1" applyProtection="1">
      <protection hidden="1"/>
    </xf>
    <xf numFmtId="164" fontId="5" fillId="7" borderId="1" xfId="0" applyNumberFormat="1" applyFont="1" applyFill="1" applyBorder="1" applyAlignment="1" applyProtection="1">
      <alignment horizontal="center"/>
      <protection hidden="1"/>
    </xf>
    <xf numFmtId="10" fontId="4" fillId="5" borderId="1" xfId="2" applyNumberFormat="1" applyFont="1" applyFill="1" applyBorder="1" applyAlignment="1" applyProtection="1">
      <alignment horizontal="center"/>
      <protection locked="0"/>
    </xf>
    <xf numFmtId="0" fontId="4" fillId="5" borderId="1" xfId="0" applyFont="1" applyFill="1" applyBorder="1" applyAlignment="1" applyProtection="1">
      <alignment horizontal="center"/>
      <protection locked="0"/>
    </xf>
    <xf numFmtId="0" fontId="5" fillId="5" borderId="1" xfId="0" applyFont="1" applyFill="1" applyBorder="1" applyAlignment="1" applyProtection="1">
      <alignment horizontal="right"/>
      <protection locked="0"/>
    </xf>
    <xf numFmtId="43" fontId="12" fillId="5" borderId="1" xfId="1" applyFont="1" applyFill="1" applyBorder="1" applyAlignment="1" applyProtection="1">
      <alignment horizontal="center"/>
      <protection locked="0"/>
    </xf>
    <xf numFmtId="0" fontId="4" fillId="7" borderId="14" xfId="0" applyFont="1" applyFill="1" applyBorder="1" applyProtection="1">
      <protection hidden="1"/>
    </xf>
    <xf numFmtId="0" fontId="4" fillId="7" borderId="15" xfId="0" applyFont="1" applyFill="1" applyBorder="1" applyProtection="1">
      <protection hidden="1"/>
    </xf>
    <xf numFmtId="0" fontId="6" fillId="4" borderId="0" xfId="0" applyFont="1" applyFill="1" applyProtection="1">
      <protection hidden="1"/>
    </xf>
    <xf numFmtId="0" fontId="4" fillId="4" borderId="0" xfId="0" applyFont="1" applyFill="1" applyProtection="1">
      <protection hidden="1"/>
    </xf>
    <xf numFmtId="0" fontId="4" fillId="4" borderId="0" xfId="0" applyFont="1" applyFill="1" applyAlignment="1" applyProtection="1">
      <alignment horizontal="right"/>
      <protection hidden="1"/>
    </xf>
    <xf numFmtId="0" fontId="5" fillId="4" borderId="0" xfId="0" applyFont="1" applyFill="1" applyAlignment="1" applyProtection="1">
      <alignment horizontal="right"/>
      <protection hidden="1"/>
    </xf>
    <xf numFmtId="0" fontId="7" fillId="4" borderId="0" xfId="0" applyFont="1" applyFill="1" applyProtection="1">
      <protection hidden="1"/>
    </xf>
    <xf numFmtId="0" fontId="11" fillId="4" borderId="0" xfId="0" applyFont="1" applyFill="1" applyAlignment="1" applyProtection="1">
      <alignment horizontal="right"/>
      <protection hidden="1"/>
    </xf>
    <xf numFmtId="0" fontId="7" fillId="4" borderId="0" xfId="0" applyFont="1" applyFill="1" applyAlignment="1" applyProtection="1">
      <alignment horizontal="left"/>
      <protection hidden="1"/>
    </xf>
    <xf numFmtId="0" fontId="9" fillId="4" borderId="0" xfId="0" applyFont="1" applyFill="1" applyAlignment="1" applyProtection="1">
      <alignment horizontal="right"/>
      <protection hidden="1"/>
    </xf>
    <xf numFmtId="0" fontId="8" fillId="4" borderId="0" xfId="0" applyFont="1" applyFill="1" applyAlignment="1" applyProtection="1">
      <alignment horizontal="center"/>
      <protection hidden="1"/>
    </xf>
    <xf numFmtId="164" fontId="4" fillId="4" borderId="0" xfId="0" applyNumberFormat="1" applyFont="1" applyFill="1" applyProtection="1">
      <protection hidden="1"/>
    </xf>
    <xf numFmtId="164" fontId="5" fillId="4" borderId="0" xfId="0" applyNumberFormat="1" applyFont="1" applyFill="1" applyProtection="1">
      <protection hidden="1"/>
    </xf>
    <xf numFmtId="0" fontId="4" fillId="4" borderId="0" xfId="0" applyFont="1" applyFill="1" applyAlignment="1" applyProtection="1">
      <alignment horizontal="left"/>
      <protection hidden="1"/>
    </xf>
    <xf numFmtId="0" fontId="4" fillId="5" borderId="13" xfId="0" applyFont="1" applyFill="1" applyBorder="1" applyProtection="1">
      <protection hidden="1"/>
    </xf>
    <xf numFmtId="0" fontId="4" fillId="3" borderId="11" xfId="0" applyFont="1" applyFill="1" applyBorder="1" applyProtection="1">
      <protection hidden="1"/>
    </xf>
    <xf numFmtId="0" fontId="5" fillId="4" borderId="0" xfId="0" applyFont="1" applyFill="1" applyAlignment="1" applyProtection="1">
      <alignment horizontal="center"/>
      <protection hidden="1"/>
    </xf>
    <xf numFmtId="10" fontId="4" fillId="7" borderId="1" xfId="2" applyNumberFormat="1" applyFont="1" applyFill="1" applyBorder="1" applyProtection="1">
      <protection hidden="1"/>
    </xf>
    <xf numFmtId="10" fontId="4" fillId="5" borderId="10" xfId="2" applyNumberFormat="1" applyFont="1" applyFill="1" applyBorder="1" applyProtection="1">
      <protection locked="0"/>
    </xf>
    <xf numFmtId="10" fontId="9" fillId="7" borderId="9" xfId="2" applyNumberFormat="1" applyFont="1" applyFill="1" applyBorder="1" applyAlignment="1" applyProtection="1">
      <alignment horizontal="right"/>
      <protection hidden="1"/>
    </xf>
    <xf numFmtId="10" fontId="9" fillId="7" borderId="1" xfId="2" applyNumberFormat="1" applyFont="1" applyFill="1" applyBorder="1" applyAlignment="1" applyProtection="1">
      <alignment horizontal="right"/>
      <protection hidden="1"/>
    </xf>
    <xf numFmtId="10" fontId="4" fillId="7" borderId="1" xfId="0" applyNumberFormat="1" applyFont="1" applyFill="1" applyBorder="1" applyAlignment="1" applyProtection="1">
      <alignment horizontal="right"/>
      <protection hidden="1"/>
    </xf>
    <xf numFmtId="167" fontId="9" fillId="7" borderId="9" xfId="0" applyNumberFormat="1" applyFont="1" applyFill="1" applyBorder="1" applyProtection="1">
      <protection hidden="1"/>
    </xf>
    <xf numFmtId="0" fontId="4" fillId="8" borderId="16" xfId="0" applyFont="1" applyFill="1" applyBorder="1" applyProtection="1">
      <protection hidden="1"/>
    </xf>
    <xf numFmtId="0" fontId="4" fillId="8" borderId="18" xfId="0" applyFont="1" applyFill="1" applyBorder="1" applyProtection="1">
      <protection hidden="1"/>
    </xf>
    <xf numFmtId="169" fontId="5" fillId="7" borderId="1" xfId="2" applyNumberFormat="1" applyFont="1" applyFill="1" applyBorder="1" applyAlignment="1" applyProtection="1">
      <alignment horizontal="center"/>
      <protection hidden="1"/>
    </xf>
    <xf numFmtId="169" fontId="9" fillId="7" borderId="1" xfId="0" applyNumberFormat="1" applyFont="1" applyFill="1" applyBorder="1" applyAlignment="1" applyProtection="1">
      <alignment horizontal="center"/>
      <protection hidden="1"/>
    </xf>
    <xf numFmtId="169" fontId="5" fillId="7" borderId="1" xfId="0" applyNumberFormat="1" applyFont="1" applyFill="1" applyBorder="1" applyAlignment="1" applyProtection="1">
      <alignment horizontal="center"/>
      <protection hidden="1"/>
    </xf>
    <xf numFmtId="169" fontId="9" fillId="0" borderId="0" xfId="0" applyNumberFormat="1" applyFont="1" applyProtection="1">
      <protection hidden="1"/>
    </xf>
    <xf numFmtId="0" fontId="9" fillId="4" borderId="0" xfId="0" applyFont="1" applyFill="1" applyAlignment="1" applyProtection="1">
      <alignment horizontal="center" wrapText="1"/>
      <protection hidden="1"/>
    </xf>
    <xf numFmtId="0" fontId="4" fillId="7" borderId="0" xfId="0" applyFont="1" applyFill="1" applyAlignment="1" applyProtection="1">
      <alignment horizontal="center" vertical="center"/>
      <protection hidden="1"/>
    </xf>
    <xf numFmtId="0" fontId="4" fillId="8" borderId="17" xfId="0" applyFont="1" applyFill="1" applyBorder="1" applyAlignment="1" applyProtection="1">
      <alignment horizontal="center" vertical="center"/>
      <protection hidden="1"/>
    </xf>
    <xf numFmtId="0" fontId="4" fillId="5" borderId="12" xfId="0" applyFont="1" applyFill="1" applyBorder="1" applyAlignment="1" applyProtection="1">
      <alignment horizontal="center" vertical="center"/>
      <protection hidden="1"/>
    </xf>
    <xf numFmtId="0" fontId="5" fillId="5" borderId="1" xfId="0" applyFont="1" applyFill="1" applyBorder="1" applyAlignment="1" applyProtection="1">
      <alignment horizontal="center"/>
      <protection locked="0"/>
    </xf>
    <xf numFmtId="10" fontId="4" fillId="5" borderId="1" xfId="0" applyNumberFormat="1" applyFont="1" applyFill="1" applyBorder="1" applyAlignment="1" applyProtection="1">
      <alignment horizontal="right"/>
      <protection locked="0"/>
    </xf>
    <xf numFmtId="0" fontId="33" fillId="4" borderId="0" xfId="0" applyFont="1" applyFill="1" applyAlignment="1" applyProtection="1">
      <alignment horizontal="right"/>
      <protection hidden="1"/>
    </xf>
    <xf numFmtId="0" fontId="5" fillId="0" borderId="11" xfId="0" applyFont="1" applyBorder="1" applyAlignment="1" applyProtection="1">
      <alignment horizontal="right"/>
      <protection hidden="1"/>
    </xf>
    <xf numFmtId="0" fontId="5" fillId="0" borderId="12" xfId="0" applyFont="1" applyBorder="1" applyAlignment="1" applyProtection="1">
      <alignment horizontal="right"/>
      <protection hidden="1"/>
    </xf>
    <xf numFmtId="0" fontId="4" fillId="0" borderId="12" xfId="0" applyFont="1" applyBorder="1" applyProtection="1">
      <protection hidden="1"/>
    </xf>
    <xf numFmtId="0" fontId="4" fillId="0" borderId="13" xfId="0" applyFont="1" applyBorder="1" applyProtection="1">
      <protection hidden="1"/>
    </xf>
    <xf numFmtId="0" fontId="5" fillId="4" borderId="14" xfId="0" applyFont="1" applyFill="1" applyBorder="1" applyAlignment="1" applyProtection="1">
      <alignment horizontal="right"/>
      <protection hidden="1"/>
    </xf>
    <xf numFmtId="0" fontId="4" fillId="0" borderId="15" xfId="0" applyFont="1" applyBorder="1" applyProtection="1">
      <protection hidden="1"/>
    </xf>
    <xf numFmtId="0" fontId="4" fillId="0" borderId="14" xfId="0" applyFont="1" applyBorder="1" applyProtection="1">
      <protection hidden="1"/>
    </xf>
    <xf numFmtId="0" fontId="35" fillId="0" borderId="0" xfId="0" applyFont="1" applyProtection="1">
      <protection hidden="1"/>
    </xf>
    <xf numFmtId="0" fontId="4" fillId="0" borderId="16" xfId="0" applyFont="1" applyBorder="1" applyProtection="1">
      <protection hidden="1"/>
    </xf>
    <xf numFmtId="0" fontId="4" fillId="0" borderId="17" xfId="0" applyFont="1" applyBorder="1" applyProtection="1">
      <protection hidden="1"/>
    </xf>
    <xf numFmtId="0" fontId="0" fillId="0" borderId="17" xfId="0" applyBorder="1" applyProtection="1">
      <protection hidden="1"/>
    </xf>
    <xf numFmtId="0" fontId="4" fillId="0" borderId="18" xfId="0" applyFont="1" applyBorder="1" applyProtection="1">
      <protection hidden="1"/>
    </xf>
    <xf numFmtId="10" fontId="9" fillId="4" borderId="6" xfId="2" applyNumberFormat="1" applyFont="1" applyFill="1" applyBorder="1" applyAlignment="1" applyProtection="1">
      <alignment horizontal="right"/>
      <protection hidden="1"/>
    </xf>
    <xf numFmtId="164" fontId="35" fillId="0" borderId="19" xfId="0" applyNumberFormat="1" applyFont="1" applyBorder="1" applyAlignment="1" applyProtection="1">
      <alignment horizontal="center" vertical="center"/>
      <protection hidden="1"/>
    </xf>
    <xf numFmtId="0" fontId="35" fillId="0" borderId="0" xfId="0" applyFont="1" applyAlignment="1" applyProtection="1">
      <alignment horizontal="center"/>
      <protection hidden="1"/>
    </xf>
    <xf numFmtId="0" fontId="9" fillId="7" borderId="5" xfId="0" applyFont="1" applyFill="1" applyBorder="1" applyAlignment="1" applyProtection="1">
      <alignment horizontal="center"/>
      <protection hidden="1"/>
    </xf>
    <xf numFmtId="0" fontId="34" fillId="0" borderId="0" xfId="0" applyFont="1" applyAlignment="1" applyProtection="1">
      <alignment horizontal="right" vertical="top"/>
      <protection hidden="1"/>
    </xf>
    <xf numFmtId="0" fontId="9" fillId="0" borderId="0" xfId="0" applyFont="1" applyAlignment="1" applyProtection="1">
      <alignment horizontal="left"/>
      <protection hidden="1"/>
    </xf>
    <xf numFmtId="164" fontId="5" fillId="0" borderId="2" xfId="0" applyNumberFormat="1" applyFont="1" applyBorder="1" applyProtection="1">
      <protection hidden="1"/>
    </xf>
    <xf numFmtId="0" fontId="36" fillId="5" borderId="0" xfId="0" applyFont="1" applyFill="1" applyAlignment="1" applyProtection="1">
      <alignment horizontal="left"/>
      <protection hidden="1"/>
    </xf>
    <xf numFmtId="0" fontId="37" fillId="5" borderId="0" xfId="0" applyFont="1" applyFill="1" applyProtection="1">
      <protection hidden="1"/>
    </xf>
    <xf numFmtId="0" fontId="37" fillId="5" borderId="15" xfId="0" applyFont="1" applyFill="1" applyBorder="1" applyProtection="1">
      <protection hidden="1"/>
    </xf>
    <xf numFmtId="7" fontId="9" fillId="8" borderId="0" xfId="0" applyNumberFormat="1" applyFont="1" applyFill="1" applyProtection="1">
      <protection hidden="1"/>
    </xf>
    <xf numFmtId="170" fontId="5" fillId="6" borderId="1" xfId="0" applyNumberFormat="1" applyFont="1" applyFill="1" applyBorder="1" applyAlignment="1" applyProtection="1">
      <alignment horizontal="center"/>
      <protection hidden="1"/>
    </xf>
    <xf numFmtId="164" fontId="9" fillId="7" borderId="1" xfId="0" applyNumberFormat="1" applyFont="1" applyFill="1" applyBorder="1" applyProtection="1">
      <protection hidden="1"/>
    </xf>
    <xf numFmtId="0" fontId="4" fillId="0" borderId="0" xfId="0" applyFont="1" applyAlignment="1" applyProtection="1">
      <alignment horizontal="center" wrapText="1"/>
      <protection hidden="1"/>
    </xf>
    <xf numFmtId="164" fontId="5" fillId="0" borderId="6" xfId="0" applyNumberFormat="1" applyFont="1" applyBorder="1" applyProtection="1">
      <protection hidden="1"/>
    </xf>
    <xf numFmtId="0" fontId="4" fillId="0" borderId="0" xfId="3" applyFont="1"/>
    <xf numFmtId="0" fontId="4" fillId="4" borderId="0" xfId="3" applyFont="1" applyFill="1" applyProtection="1">
      <protection hidden="1"/>
    </xf>
    <xf numFmtId="0" fontId="5" fillId="4" borderId="0" xfId="3" applyFont="1" applyFill="1" applyAlignment="1" applyProtection="1">
      <alignment horizontal="center"/>
      <protection hidden="1"/>
    </xf>
    <xf numFmtId="0" fontId="4" fillId="9" borderId="0" xfId="3" applyFont="1" applyFill="1"/>
    <xf numFmtId="0" fontId="4" fillId="3" borderId="11" xfId="3" applyFont="1" applyFill="1" applyBorder="1" applyProtection="1">
      <protection hidden="1"/>
    </xf>
    <xf numFmtId="0" fontId="4" fillId="5" borderId="12" xfId="3" applyFont="1" applyFill="1" applyBorder="1" applyAlignment="1" applyProtection="1">
      <alignment horizontal="center" vertical="center"/>
      <protection hidden="1"/>
    </xf>
    <xf numFmtId="0" fontId="4" fillId="5" borderId="13" xfId="3" applyFont="1" applyFill="1" applyBorder="1" applyProtection="1">
      <protection hidden="1"/>
    </xf>
    <xf numFmtId="0" fontId="4" fillId="7" borderId="14" xfId="3" applyFont="1" applyFill="1" applyBorder="1" applyProtection="1">
      <protection hidden="1"/>
    </xf>
    <xf numFmtId="0" fontId="4" fillId="7" borderId="0" xfId="3" applyFont="1" applyFill="1" applyAlignment="1" applyProtection="1">
      <alignment horizontal="center" vertical="center"/>
      <protection hidden="1"/>
    </xf>
    <xf numFmtId="0" fontId="4" fillId="7" borderId="15" xfId="3" applyFont="1" applyFill="1" applyBorder="1" applyProtection="1">
      <protection hidden="1"/>
    </xf>
    <xf numFmtId="0" fontId="5" fillId="0" borderId="0" xfId="3" applyFont="1" applyAlignment="1" applyProtection="1">
      <alignment horizontal="right"/>
      <protection hidden="1"/>
    </xf>
    <xf numFmtId="0" fontId="4" fillId="8" borderId="16" xfId="3" applyFont="1" applyFill="1" applyBorder="1" applyProtection="1">
      <protection hidden="1"/>
    </xf>
    <xf numFmtId="0" fontId="4" fillId="8" borderId="17" xfId="3" applyFont="1" applyFill="1" applyBorder="1" applyAlignment="1" applyProtection="1">
      <alignment horizontal="center" vertical="center"/>
      <protection hidden="1"/>
    </xf>
    <xf numFmtId="0" fontId="4" fillId="8" borderId="18" xfId="3" applyFont="1" applyFill="1" applyBorder="1" applyProtection="1">
      <protection hidden="1"/>
    </xf>
    <xf numFmtId="0" fontId="5" fillId="0" borderId="0" xfId="3" applyFont="1" applyAlignment="1" applyProtection="1">
      <alignment horizontal="center"/>
      <protection hidden="1"/>
    </xf>
    <xf numFmtId="10" fontId="9" fillId="7" borderId="1" xfId="3" applyNumberFormat="1" applyFont="1" applyFill="1" applyBorder="1" applyAlignment="1" applyProtection="1">
      <alignment horizontal="right"/>
      <protection hidden="1"/>
    </xf>
    <xf numFmtId="0" fontId="5" fillId="0" borderId="0" xfId="3" applyFont="1" applyAlignment="1" applyProtection="1">
      <alignment horizontal="right" vertical="center"/>
      <protection hidden="1"/>
    </xf>
    <xf numFmtId="167" fontId="9" fillId="5" borderId="1" xfId="3" applyNumberFormat="1" applyFont="1" applyFill="1" applyBorder="1" applyProtection="1">
      <protection locked="0"/>
    </xf>
    <xf numFmtId="0" fontId="4" fillId="9" borderId="0" xfId="3" applyFont="1" applyFill="1" applyProtection="1">
      <protection hidden="1"/>
    </xf>
    <xf numFmtId="0" fontId="40" fillId="9" borderId="0" xfId="3" applyFont="1" applyFill="1"/>
    <xf numFmtId="167" fontId="9" fillId="7" borderId="1" xfId="3" applyNumberFormat="1" applyFont="1" applyFill="1" applyBorder="1" applyProtection="1">
      <protection hidden="1"/>
    </xf>
    <xf numFmtId="0" fontId="4" fillId="0" borderId="0" xfId="3" applyFont="1" applyAlignment="1" applyProtection="1">
      <alignment horizontal="right"/>
      <protection hidden="1"/>
    </xf>
    <xf numFmtId="0" fontId="9" fillId="0" borderId="0" xfId="3" applyFont="1" applyProtection="1">
      <protection hidden="1"/>
    </xf>
    <xf numFmtId="0" fontId="4" fillId="0" borderId="0" xfId="3" applyFont="1" applyProtection="1">
      <protection hidden="1"/>
    </xf>
    <xf numFmtId="0" fontId="7" fillId="0" borderId="0" xfId="3" applyFont="1" applyProtection="1">
      <protection hidden="1"/>
    </xf>
    <xf numFmtId="9" fontId="40" fillId="9" borderId="0" xfId="2" applyFont="1" applyFill="1"/>
    <xf numFmtId="173" fontId="4" fillId="7" borderId="1" xfId="2" applyNumberFormat="1" applyFont="1" applyFill="1" applyBorder="1" applyProtection="1">
      <protection hidden="1"/>
    </xf>
    <xf numFmtId="169" fontId="4" fillId="7" borderId="1" xfId="3" applyNumberFormat="1" applyFont="1" applyFill="1" applyBorder="1" applyProtection="1">
      <protection hidden="1"/>
    </xf>
    <xf numFmtId="172" fontId="9" fillId="7" borderId="1" xfId="3" applyNumberFormat="1" applyFont="1" applyFill="1" applyBorder="1" applyProtection="1">
      <protection hidden="1"/>
    </xf>
    <xf numFmtId="164" fontId="9" fillId="7" borderId="1" xfId="3" applyNumberFormat="1" applyFont="1" applyFill="1" applyBorder="1" applyProtection="1">
      <protection hidden="1"/>
    </xf>
    <xf numFmtId="0" fontId="4" fillId="9" borderId="0" xfId="3" applyFont="1" applyFill="1" applyAlignment="1">
      <alignment wrapText="1"/>
    </xf>
    <xf numFmtId="0" fontId="7" fillId="0" borderId="0" xfId="3" applyFont="1" applyAlignment="1" applyProtection="1">
      <alignment vertical="top" wrapText="1"/>
      <protection hidden="1"/>
    </xf>
    <xf numFmtId="10" fontId="9" fillId="5" borderId="1" xfId="2" applyNumberFormat="1" applyFont="1" applyFill="1" applyBorder="1" applyProtection="1">
      <protection locked="0"/>
    </xf>
    <xf numFmtId="2" fontId="4" fillId="0" borderId="0" xfId="3" applyNumberFormat="1" applyFont="1" applyProtection="1">
      <protection hidden="1"/>
    </xf>
    <xf numFmtId="164" fontId="4" fillId="0" borderId="0" xfId="3" applyNumberFormat="1" applyFont="1" applyProtection="1">
      <protection hidden="1"/>
    </xf>
    <xf numFmtId="167" fontId="9" fillId="8" borderId="1" xfId="3" applyNumberFormat="1" applyFont="1" applyFill="1" applyBorder="1" applyProtection="1">
      <protection locked="0"/>
    </xf>
    <xf numFmtId="0" fontId="7" fillId="4" borderId="0" xfId="3" applyFont="1" applyFill="1" applyProtection="1">
      <protection hidden="1"/>
    </xf>
    <xf numFmtId="0" fontId="42" fillId="0" borderId="0" xfId="3" applyFont="1" applyAlignment="1" applyProtection="1">
      <alignment vertical="top"/>
      <protection hidden="1"/>
    </xf>
    <xf numFmtId="0" fontId="42" fillId="0" borderId="0" xfId="3" applyFont="1" applyAlignment="1" applyProtection="1">
      <alignment vertical="top" wrapText="1"/>
      <protection hidden="1"/>
    </xf>
    <xf numFmtId="0" fontId="34" fillId="0" borderId="0" xfId="3" applyFont="1" applyAlignment="1" applyProtection="1">
      <alignment horizontal="right" vertical="top"/>
      <protection hidden="1"/>
    </xf>
    <xf numFmtId="0" fontId="42" fillId="0" borderId="0" xfId="3" applyFont="1" applyAlignment="1" applyProtection="1">
      <alignment wrapText="1"/>
      <protection hidden="1"/>
    </xf>
    <xf numFmtId="0" fontId="42" fillId="0" borderId="0" xfId="3" applyFont="1" applyProtection="1">
      <protection hidden="1"/>
    </xf>
    <xf numFmtId="171" fontId="5" fillId="10" borderId="1" xfId="0" applyNumberFormat="1" applyFont="1" applyFill="1" applyBorder="1" applyAlignment="1" applyProtection="1">
      <alignment horizontal="center"/>
      <protection hidden="1"/>
    </xf>
    <xf numFmtId="171" fontId="5" fillId="5" borderId="1" xfId="0" applyNumberFormat="1" applyFont="1" applyFill="1" applyBorder="1" applyAlignment="1" applyProtection="1">
      <alignment horizontal="center"/>
      <protection hidden="1"/>
    </xf>
    <xf numFmtId="43" fontId="4" fillId="5" borderId="1" xfId="1" applyFont="1" applyFill="1" applyBorder="1" applyAlignment="1" applyProtection="1">
      <alignment horizontal="center"/>
      <protection locked="0"/>
    </xf>
    <xf numFmtId="10" fontId="4" fillId="7" borderId="5" xfId="2" applyNumberFormat="1" applyFont="1" applyFill="1" applyBorder="1" applyAlignment="1" applyProtection="1">
      <alignment horizontal="center"/>
      <protection hidden="1"/>
    </xf>
    <xf numFmtId="166" fontId="9" fillId="0" borderId="0" xfId="0" applyNumberFormat="1" applyFont="1" applyAlignment="1" applyProtection="1">
      <alignment horizontal="right"/>
      <protection hidden="1"/>
    </xf>
    <xf numFmtId="164" fontId="32" fillId="0" borderId="0" xfId="0" applyNumberFormat="1" applyFont="1" applyProtection="1">
      <protection hidden="1"/>
    </xf>
    <xf numFmtId="164" fontId="4" fillId="7" borderId="9" xfId="0" applyNumberFormat="1" applyFont="1" applyFill="1" applyBorder="1" applyProtection="1">
      <protection hidden="1"/>
    </xf>
    <xf numFmtId="170" fontId="5" fillId="7" borderId="1" xfId="0" applyNumberFormat="1" applyFont="1" applyFill="1" applyBorder="1" applyAlignment="1" applyProtection="1">
      <alignment horizontal="center"/>
      <protection hidden="1"/>
    </xf>
    <xf numFmtId="164" fontId="4" fillId="2" borderId="1" xfId="0" applyNumberFormat="1" applyFont="1" applyFill="1" applyBorder="1" applyAlignment="1" applyProtection="1">
      <alignment horizontal="right"/>
      <protection hidden="1"/>
    </xf>
    <xf numFmtId="43" fontId="4" fillId="5" borderId="1" xfId="1" applyFont="1" applyFill="1" applyBorder="1" applyAlignment="1" applyProtection="1">
      <alignment horizontal="center"/>
      <protection hidden="1"/>
    </xf>
    <xf numFmtId="43" fontId="12" fillId="5" borderId="1" xfId="1" applyFont="1" applyFill="1" applyBorder="1" applyAlignment="1" applyProtection="1">
      <alignment horizontal="center"/>
      <protection hidden="1"/>
    </xf>
    <xf numFmtId="0" fontId="43" fillId="0" borderId="0" xfId="0" applyFont="1" applyAlignment="1" applyProtection="1">
      <alignment horizontal="left"/>
      <protection hidden="1"/>
    </xf>
    <xf numFmtId="0" fontId="32" fillId="0" borderId="0" xfId="0" applyFont="1" applyAlignment="1" applyProtection="1">
      <alignment horizontal="right"/>
      <protection hidden="1"/>
    </xf>
    <xf numFmtId="0" fontId="33" fillId="0" borderId="0" xfId="0" applyFont="1" applyProtection="1">
      <protection hidden="1"/>
    </xf>
    <xf numFmtId="0" fontId="44" fillId="0" borderId="0" xfId="0" applyFont="1" applyProtection="1">
      <protection hidden="1"/>
    </xf>
    <xf numFmtId="0" fontId="45" fillId="0" borderId="0" xfId="0" applyFont="1" applyProtection="1">
      <protection hidden="1"/>
    </xf>
    <xf numFmtId="164" fontId="33" fillId="0" borderId="0" xfId="0" applyNumberFormat="1" applyFont="1" applyProtection="1">
      <protection hidden="1"/>
    </xf>
    <xf numFmtId="166" fontId="43" fillId="0" borderId="0" xfId="0" applyNumberFormat="1" applyFont="1" applyAlignment="1" applyProtection="1">
      <alignment horizontal="right"/>
      <protection hidden="1"/>
    </xf>
    <xf numFmtId="0" fontId="32" fillId="0" borderId="0" xfId="3" applyFont="1" applyAlignment="1" applyProtection="1">
      <alignment horizontal="right"/>
      <protection hidden="1"/>
    </xf>
    <xf numFmtId="167" fontId="33" fillId="0" borderId="0" xfId="0" applyNumberFormat="1" applyFont="1" applyProtection="1">
      <protection hidden="1"/>
    </xf>
    <xf numFmtId="169" fontId="32" fillId="0" borderId="0" xfId="0" applyNumberFormat="1" applyFont="1" applyAlignment="1" applyProtection="1">
      <alignment horizontal="center"/>
      <protection hidden="1"/>
    </xf>
    <xf numFmtId="0" fontId="46" fillId="0" borderId="0" xfId="0" applyFont="1" applyProtection="1">
      <protection hidden="1"/>
    </xf>
    <xf numFmtId="0" fontId="43" fillId="0" borderId="0" xfId="0" applyFont="1" applyAlignment="1" applyProtection="1">
      <alignment horizontal="center"/>
      <protection hidden="1"/>
    </xf>
    <xf numFmtId="0" fontId="32" fillId="0" borderId="0" xfId="3" applyFont="1" applyAlignment="1" applyProtection="1">
      <alignment horizontal="right" vertical="center"/>
      <protection hidden="1"/>
    </xf>
    <xf numFmtId="0" fontId="47" fillId="0" borderId="0" xfId="4" applyAlignment="1" applyProtection="1">
      <alignment horizontal="left"/>
      <protection hidden="1"/>
    </xf>
    <xf numFmtId="174" fontId="4" fillId="5" borderId="1" xfId="0" applyNumberFormat="1" applyFont="1" applyFill="1" applyBorder="1" applyAlignment="1" applyProtection="1">
      <alignment horizontal="right"/>
      <protection locked="0"/>
    </xf>
    <xf numFmtId="0" fontId="49" fillId="0" borderId="0" xfId="3" applyFont="1" applyProtection="1">
      <protection hidden="1"/>
    </xf>
    <xf numFmtId="0" fontId="49" fillId="4" borderId="0" xfId="3" applyFont="1" applyFill="1" applyProtection="1">
      <protection hidden="1"/>
    </xf>
    <xf numFmtId="0" fontId="49" fillId="0" borderId="0" xfId="3" applyFont="1"/>
    <xf numFmtId="0" fontId="49" fillId="6" borderId="0" xfId="3" applyFont="1" applyFill="1" applyProtection="1">
      <protection hidden="1"/>
    </xf>
    <xf numFmtId="0" fontId="49" fillId="0" borderId="0" xfId="3" applyFont="1" applyAlignment="1" applyProtection="1">
      <alignment horizontal="left" vertical="center"/>
      <protection hidden="1"/>
    </xf>
    <xf numFmtId="0" fontId="49" fillId="0" borderId="0" xfId="3" applyFont="1" applyAlignment="1" applyProtection="1">
      <alignment horizontal="center" vertical="center"/>
      <protection hidden="1"/>
    </xf>
    <xf numFmtId="0" fontId="5" fillId="0" borderId="0" xfId="3" applyFont="1" applyAlignment="1" applyProtection="1">
      <alignment vertical="center"/>
      <protection hidden="1"/>
    </xf>
    <xf numFmtId="0" fontId="5" fillId="6" borderId="0" xfId="3" applyFont="1" applyFill="1" applyAlignment="1" applyProtection="1">
      <alignment horizontal="center" vertical="center"/>
      <protection hidden="1"/>
    </xf>
    <xf numFmtId="0" fontId="50" fillId="0" borderId="0" xfId="3" applyFont="1" applyProtection="1">
      <protection hidden="1"/>
    </xf>
    <xf numFmtId="0" fontId="49" fillId="6" borderId="0" xfId="3" applyFont="1" applyFill="1" applyAlignment="1" applyProtection="1">
      <alignment horizontal="left" vertical="center" indent="6"/>
      <protection hidden="1"/>
    </xf>
    <xf numFmtId="0" fontId="4" fillId="0" borderId="0" xfId="3" quotePrefix="1" applyFont="1" applyAlignment="1" applyProtection="1">
      <alignment horizontal="center"/>
      <protection hidden="1"/>
    </xf>
    <xf numFmtId="0" fontId="4" fillId="4" borderId="0" xfId="3" applyFont="1" applyFill="1" applyAlignment="1" applyProtection="1">
      <alignment horizontal="left"/>
      <protection hidden="1"/>
    </xf>
    <xf numFmtId="0" fontId="51" fillId="0" borderId="0" xfId="3" applyFont="1" applyProtection="1">
      <protection hidden="1"/>
    </xf>
    <xf numFmtId="0" fontId="51" fillId="5" borderId="1" xfId="3" applyFont="1" applyFill="1" applyBorder="1" applyAlignment="1" applyProtection="1">
      <alignment horizontal="center"/>
      <protection locked="0"/>
    </xf>
    <xf numFmtId="0" fontId="4" fillId="0" borderId="0" xfId="3" applyFont="1" applyAlignment="1" applyProtection="1">
      <alignment horizontal="center"/>
      <protection hidden="1"/>
    </xf>
    <xf numFmtId="0" fontId="52" fillId="0" borderId="0" xfId="3" applyFont="1" applyProtection="1">
      <protection hidden="1"/>
    </xf>
    <xf numFmtId="0" fontId="53" fillId="0" borderId="0" xfId="3" applyFont="1" applyProtection="1">
      <protection hidden="1"/>
    </xf>
    <xf numFmtId="175" fontId="4" fillId="0" borderId="0" xfId="3" applyNumberFormat="1" applyFont="1" applyProtection="1">
      <protection hidden="1"/>
    </xf>
    <xf numFmtId="0" fontId="54" fillId="6" borderId="0" xfId="4" applyFont="1" applyFill="1" applyAlignment="1" applyProtection="1">
      <alignment horizontal="left" vertical="center" indent="6"/>
      <protection hidden="1"/>
    </xf>
    <xf numFmtId="176" fontId="51" fillId="0" borderId="0" xfId="3" applyNumberFormat="1" applyFont="1" applyProtection="1">
      <protection locked="0"/>
    </xf>
    <xf numFmtId="177" fontId="4" fillId="0" borderId="0" xfId="3" applyNumberFormat="1" applyFont="1" applyProtection="1">
      <protection hidden="1"/>
    </xf>
    <xf numFmtId="178" fontId="4" fillId="0" borderId="0" xfId="3" applyNumberFormat="1" applyFont="1" applyAlignment="1" applyProtection="1">
      <alignment horizontal="left"/>
      <protection hidden="1"/>
    </xf>
    <xf numFmtId="0" fontId="4" fillId="6" borderId="0" xfId="3" applyFont="1" applyFill="1" applyProtection="1">
      <protection hidden="1"/>
    </xf>
    <xf numFmtId="0" fontId="49" fillId="4" borderId="0" xfId="3" applyFont="1" applyFill="1"/>
    <xf numFmtId="172" fontId="4" fillId="0" borderId="0" xfId="3" applyNumberFormat="1" applyFont="1" applyProtection="1">
      <protection hidden="1"/>
    </xf>
    <xf numFmtId="164" fontId="43" fillId="0" borderId="0" xfId="3" applyNumberFormat="1" applyFont="1" applyProtection="1">
      <protection hidden="1"/>
    </xf>
    <xf numFmtId="172" fontId="43" fillId="0" borderId="0" xfId="3" applyNumberFormat="1" applyFont="1" applyProtection="1">
      <protection hidden="1"/>
    </xf>
    <xf numFmtId="2" fontId="5" fillId="4" borderId="0" xfId="0" applyNumberFormat="1" applyFont="1" applyFill="1" applyAlignment="1" applyProtection="1">
      <alignment horizontal="center"/>
      <protection hidden="1"/>
    </xf>
    <xf numFmtId="167" fontId="4" fillId="4" borderId="0" xfId="0" applyNumberFormat="1" applyFont="1" applyFill="1" applyProtection="1">
      <protection hidden="1"/>
    </xf>
    <xf numFmtId="10" fontId="4" fillId="4" borderId="0" xfId="2" applyNumberFormat="1" applyFont="1" applyFill="1" applyBorder="1" applyAlignment="1" applyProtection="1">
      <alignment horizontal="center"/>
      <protection hidden="1"/>
    </xf>
    <xf numFmtId="0" fontId="4" fillId="7" borderId="1" xfId="0" applyFont="1" applyFill="1" applyBorder="1" applyAlignment="1" applyProtection="1">
      <alignment horizontal="center"/>
      <protection hidden="1"/>
    </xf>
    <xf numFmtId="15" fontId="51" fillId="5" borderId="1" xfId="3" applyNumberFormat="1" applyFont="1" applyFill="1" applyBorder="1" applyAlignment="1" applyProtection="1">
      <alignment horizontal="center"/>
      <protection locked="0"/>
    </xf>
    <xf numFmtId="0" fontId="51" fillId="0" borderId="0" xfId="0" applyFont="1" applyAlignment="1">
      <alignment vertical="center"/>
    </xf>
    <xf numFmtId="0" fontId="4" fillId="5" borderId="1" xfId="0" quotePrefix="1" applyFont="1" applyFill="1" applyBorder="1" applyAlignment="1" applyProtection="1">
      <alignment horizontal="center"/>
      <protection locked="0"/>
    </xf>
    <xf numFmtId="43" fontId="12" fillId="10" borderId="1" xfId="1" applyFont="1" applyFill="1" applyBorder="1" applyAlignment="1" applyProtection="1">
      <alignment horizontal="center"/>
      <protection hidden="1"/>
    </xf>
    <xf numFmtId="166" fontId="5" fillId="7" borderId="5" xfId="0" applyNumberFormat="1" applyFont="1" applyFill="1" applyBorder="1" applyAlignment="1" applyProtection="1">
      <alignment horizontal="right"/>
      <protection hidden="1"/>
    </xf>
    <xf numFmtId="0" fontId="51" fillId="5" borderId="1" xfId="3" quotePrefix="1" applyFont="1" applyFill="1" applyBorder="1" applyAlignment="1" applyProtection="1">
      <alignment horizontal="center"/>
      <protection locked="0"/>
    </xf>
    <xf numFmtId="166" fontId="9" fillId="0" borderId="0" xfId="0" applyNumberFormat="1" applyFont="1" applyAlignment="1" applyProtection="1">
      <alignment horizontal="center"/>
      <protection hidden="1"/>
    </xf>
    <xf numFmtId="169" fontId="5" fillId="5" borderId="1" xfId="0" applyNumberFormat="1" applyFont="1" applyFill="1" applyBorder="1" applyAlignment="1" applyProtection="1">
      <alignment horizontal="center"/>
      <protection locked="0"/>
    </xf>
    <xf numFmtId="10" fontId="4" fillId="5" borderId="1" xfId="2" applyNumberFormat="1" applyFont="1" applyFill="1" applyBorder="1" applyProtection="1">
      <protection locked="0"/>
    </xf>
    <xf numFmtId="164" fontId="5" fillId="7" borderId="5" xfId="0" applyNumberFormat="1" applyFont="1" applyFill="1" applyBorder="1" applyProtection="1">
      <protection hidden="1"/>
    </xf>
    <xf numFmtId="0" fontId="38" fillId="8" borderId="11" xfId="0" applyFont="1" applyFill="1" applyBorder="1" applyAlignment="1" applyProtection="1">
      <alignment horizontal="center" vertical="top" wrapText="1"/>
      <protection hidden="1"/>
    </xf>
    <xf numFmtId="0" fontId="38" fillId="8" borderId="12" xfId="0" applyFont="1" applyFill="1" applyBorder="1" applyAlignment="1" applyProtection="1">
      <alignment horizontal="center" vertical="top" wrapText="1"/>
      <protection hidden="1"/>
    </xf>
    <xf numFmtId="0" fontId="38" fillId="8" borderId="13" xfId="0" applyFont="1" applyFill="1" applyBorder="1" applyAlignment="1" applyProtection="1">
      <alignment horizontal="center" vertical="top" wrapText="1"/>
      <protection hidden="1"/>
    </xf>
    <xf numFmtId="0" fontId="38" fillId="8" borderId="14" xfId="0" applyFont="1" applyFill="1" applyBorder="1" applyAlignment="1" applyProtection="1">
      <alignment horizontal="center" vertical="top" wrapText="1"/>
      <protection hidden="1"/>
    </xf>
    <xf numFmtId="0" fontId="38" fillId="8" borderId="0" xfId="0" applyFont="1" applyFill="1" applyAlignment="1" applyProtection="1">
      <alignment horizontal="center" vertical="top" wrapText="1"/>
      <protection hidden="1"/>
    </xf>
    <xf numFmtId="0" fontId="38" fillId="8" borderId="15" xfId="0" applyFont="1" applyFill="1" applyBorder="1" applyAlignment="1" applyProtection="1">
      <alignment horizontal="center" vertical="top" wrapText="1"/>
      <protection hidden="1"/>
    </xf>
    <xf numFmtId="0" fontId="38" fillId="8" borderId="16" xfId="0" applyFont="1" applyFill="1" applyBorder="1" applyAlignment="1" applyProtection="1">
      <alignment horizontal="center" vertical="top" wrapText="1"/>
      <protection hidden="1"/>
    </xf>
    <xf numFmtId="0" fontId="38" fillId="8" borderId="17" xfId="0" applyFont="1" applyFill="1" applyBorder="1" applyAlignment="1" applyProtection="1">
      <alignment horizontal="center" vertical="top" wrapText="1"/>
      <protection hidden="1"/>
    </xf>
    <xf numFmtId="0" fontId="38" fillId="8" borderId="18" xfId="0" applyFont="1" applyFill="1" applyBorder="1" applyAlignment="1" applyProtection="1">
      <alignment horizontal="center" vertical="top" wrapText="1"/>
      <protection hidden="1"/>
    </xf>
    <xf numFmtId="0" fontId="9" fillId="8" borderId="11" xfId="0" applyFont="1" applyFill="1" applyBorder="1" applyAlignment="1" applyProtection="1">
      <alignment horizontal="center" wrapText="1"/>
      <protection hidden="1"/>
    </xf>
    <xf numFmtId="0" fontId="4" fillId="8" borderId="12" xfId="0" applyFont="1" applyFill="1" applyBorder="1" applyAlignment="1" applyProtection="1">
      <alignment horizontal="center" wrapText="1"/>
      <protection hidden="1"/>
    </xf>
    <xf numFmtId="0" fontId="4" fillId="8" borderId="13" xfId="0" applyFont="1" applyFill="1" applyBorder="1" applyAlignment="1" applyProtection="1">
      <alignment horizontal="center" wrapText="1"/>
      <protection hidden="1"/>
    </xf>
    <xf numFmtId="0" fontId="4" fillId="8" borderId="14" xfId="0" applyFont="1" applyFill="1" applyBorder="1" applyAlignment="1" applyProtection="1">
      <alignment horizontal="center" wrapText="1"/>
      <protection hidden="1"/>
    </xf>
    <xf numFmtId="0" fontId="4" fillId="8" borderId="0" xfId="0" applyFont="1" applyFill="1" applyAlignment="1" applyProtection="1">
      <alignment horizontal="center" wrapText="1"/>
      <protection hidden="1"/>
    </xf>
    <xf numFmtId="0" fontId="4" fillId="8" borderId="15" xfId="0" applyFont="1" applyFill="1" applyBorder="1" applyAlignment="1" applyProtection="1">
      <alignment horizontal="center" wrapText="1"/>
      <protection hidden="1"/>
    </xf>
    <xf numFmtId="0" fontId="4" fillId="8" borderId="16" xfId="0" applyFont="1" applyFill="1" applyBorder="1" applyAlignment="1" applyProtection="1">
      <alignment horizontal="center" wrapText="1"/>
      <protection hidden="1"/>
    </xf>
    <xf numFmtId="0" fontId="4" fillId="8" borderId="17" xfId="0" applyFont="1" applyFill="1" applyBorder="1" applyAlignment="1" applyProtection="1">
      <alignment horizontal="center" wrapText="1"/>
      <protection hidden="1"/>
    </xf>
    <xf numFmtId="0" fontId="4" fillId="8" borderId="18" xfId="0" applyFont="1" applyFill="1" applyBorder="1" applyAlignment="1" applyProtection="1">
      <alignment horizontal="center" wrapText="1"/>
      <protection hidden="1"/>
    </xf>
    <xf numFmtId="0" fontId="9" fillId="8" borderId="13" xfId="0" applyFont="1" applyFill="1" applyBorder="1" applyAlignment="1" applyProtection="1">
      <alignment horizontal="center" wrapText="1"/>
      <protection hidden="1"/>
    </xf>
    <xf numFmtId="0" fontId="9" fillId="8" borderId="16" xfId="0" applyFont="1" applyFill="1" applyBorder="1" applyAlignment="1" applyProtection="1">
      <alignment horizontal="center" wrapText="1"/>
      <protection hidden="1"/>
    </xf>
    <xf numFmtId="0" fontId="9" fillId="8" borderId="18" xfId="0" applyFont="1" applyFill="1" applyBorder="1" applyAlignment="1" applyProtection="1">
      <alignment horizontal="center" wrapText="1"/>
      <protection hidden="1"/>
    </xf>
    <xf numFmtId="0" fontId="33" fillId="0" borderId="0" xfId="0" applyFont="1" applyAlignment="1" applyProtection="1">
      <alignment horizontal="center"/>
      <protection hidden="1"/>
    </xf>
    <xf numFmtId="0" fontId="48" fillId="4" borderId="0" xfId="0" applyFont="1" applyFill="1" applyAlignment="1" applyProtection="1">
      <alignment horizontal="center"/>
      <protection hidden="1"/>
    </xf>
    <xf numFmtId="0" fontId="33" fillId="4" borderId="0" xfId="0" applyFont="1" applyFill="1" applyAlignment="1" applyProtection="1">
      <alignment horizontal="center"/>
      <protection hidden="1"/>
    </xf>
    <xf numFmtId="0" fontId="4" fillId="0" borderId="2" xfId="0" applyFont="1" applyBorder="1" applyAlignment="1" applyProtection="1">
      <alignment horizontal="center"/>
      <protection hidden="1"/>
    </xf>
    <xf numFmtId="0" fontId="4" fillId="0" borderId="0" xfId="0" applyFont="1" applyAlignment="1" applyProtection="1">
      <alignment horizontal="center"/>
      <protection hidden="1"/>
    </xf>
    <xf numFmtId="0" fontId="6" fillId="0" borderId="0" xfId="0" applyFont="1" applyAlignment="1" applyProtection="1">
      <alignment horizontal="right"/>
      <protection hidden="1"/>
    </xf>
    <xf numFmtId="0" fontId="10" fillId="0" borderId="0" xfId="0" applyFont="1" applyAlignment="1" applyProtection="1">
      <alignment horizontal="center"/>
      <protection hidden="1"/>
    </xf>
    <xf numFmtId="0" fontId="5" fillId="0" borderId="0" xfId="0" applyFont="1" applyAlignment="1" applyProtection="1">
      <alignment horizontal="center"/>
      <protection hidden="1"/>
    </xf>
    <xf numFmtId="0" fontId="9" fillId="0" borderId="6" xfId="0" applyFont="1" applyBorder="1" applyAlignment="1" applyProtection="1">
      <alignment horizontal="center" wrapText="1"/>
      <protection hidden="1"/>
    </xf>
    <xf numFmtId="0" fontId="9" fillId="0" borderId="7" xfId="0" applyFont="1" applyBorder="1" applyAlignment="1" applyProtection="1">
      <alignment horizontal="center" wrapText="1"/>
      <protection hidden="1"/>
    </xf>
    <xf numFmtId="0" fontId="9" fillId="0" borderId="0" xfId="0" applyFont="1" applyAlignment="1" applyProtection="1">
      <alignment horizontal="center" wrapText="1"/>
      <protection hidden="1"/>
    </xf>
    <xf numFmtId="0" fontId="6" fillId="0" borderId="0" xfId="0" applyFont="1" applyAlignment="1" applyProtection="1">
      <alignment horizontal="right" vertical="center"/>
      <protection hidden="1"/>
    </xf>
    <xf numFmtId="0" fontId="4" fillId="5" borderId="11" xfId="0" applyFont="1" applyFill="1" applyBorder="1" applyAlignment="1" applyProtection="1">
      <alignment horizontal="center" vertical="center"/>
      <protection hidden="1"/>
    </xf>
    <xf numFmtId="0" fontId="4" fillId="5" borderId="12" xfId="0" applyFont="1" applyFill="1" applyBorder="1" applyAlignment="1" applyProtection="1">
      <alignment horizontal="center" vertical="center"/>
      <protection hidden="1"/>
    </xf>
    <xf numFmtId="0" fontId="4" fillId="5" borderId="13" xfId="0" applyFont="1" applyFill="1" applyBorder="1" applyAlignment="1" applyProtection="1">
      <alignment horizontal="center" vertical="center"/>
      <protection hidden="1"/>
    </xf>
    <xf numFmtId="0" fontId="4" fillId="7" borderId="14" xfId="0" applyFont="1" applyFill="1" applyBorder="1" applyAlignment="1" applyProtection="1">
      <alignment horizontal="center" vertical="center"/>
      <protection hidden="1"/>
    </xf>
    <xf numFmtId="0" fontId="4" fillId="7" borderId="0" xfId="0" applyFont="1" applyFill="1" applyAlignment="1" applyProtection="1">
      <alignment horizontal="center" vertical="center"/>
      <protection hidden="1"/>
    </xf>
    <xf numFmtId="0" fontId="4" fillId="7" borderId="15" xfId="0" applyFont="1" applyFill="1" applyBorder="1" applyAlignment="1" applyProtection="1">
      <alignment horizontal="center" vertical="center"/>
      <protection hidden="1"/>
    </xf>
    <xf numFmtId="0" fontId="4" fillId="8" borderId="16" xfId="0" applyFont="1" applyFill="1" applyBorder="1" applyAlignment="1" applyProtection="1">
      <alignment horizontal="center" vertical="center"/>
      <protection hidden="1"/>
    </xf>
    <xf numFmtId="0" fontId="4" fillId="8" borderId="17" xfId="0" applyFont="1" applyFill="1" applyBorder="1" applyAlignment="1" applyProtection="1">
      <alignment horizontal="center" vertical="center"/>
      <protection hidden="1"/>
    </xf>
    <xf numFmtId="0" fontId="4" fillId="8" borderId="18" xfId="0" applyFont="1" applyFill="1" applyBorder="1" applyAlignment="1" applyProtection="1">
      <alignment horizontal="center" vertical="center"/>
      <protection hidden="1"/>
    </xf>
    <xf numFmtId="0" fontId="38" fillId="8" borderId="11" xfId="0" applyFont="1" applyFill="1" applyBorder="1" applyAlignment="1" applyProtection="1">
      <alignment horizontal="center" vertical="center" wrapText="1"/>
      <protection hidden="1"/>
    </xf>
    <xf numFmtId="0" fontId="38" fillId="8" borderId="13" xfId="0" applyFont="1" applyFill="1" applyBorder="1" applyAlignment="1" applyProtection="1">
      <alignment horizontal="center" vertical="center" wrapText="1"/>
      <protection hidden="1"/>
    </xf>
    <xf numFmtId="0" fontId="38" fillId="8" borderId="16" xfId="0" applyFont="1" applyFill="1" applyBorder="1" applyAlignment="1" applyProtection="1">
      <alignment horizontal="center" vertical="center" wrapText="1"/>
      <protection hidden="1"/>
    </xf>
    <xf numFmtId="0" fontId="38" fillId="8" borderId="18" xfId="0" applyFont="1" applyFill="1" applyBorder="1" applyAlignment="1" applyProtection="1">
      <alignment horizontal="center" vertical="center" wrapText="1"/>
      <protection hidden="1"/>
    </xf>
    <xf numFmtId="0" fontId="34" fillId="8" borderId="0" xfId="0" applyFont="1" applyFill="1" applyAlignment="1" applyProtection="1">
      <alignment horizontal="center"/>
      <protection hidden="1"/>
    </xf>
    <xf numFmtId="0" fontId="5" fillId="4" borderId="17" xfId="0" applyFont="1" applyFill="1" applyBorder="1" applyAlignment="1" applyProtection="1">
      <alignment horizontal="center"/>
      <protection hidden="1"/>
    </xf>
    <xf numFmtId="0" fontId="35" fillId="0" borderId="17" xfId="0" applyFont="1" applyBorder="1" applyAlignment="1" applyProtection="1">
      <alignment horizontal="center" vertical="center" wrapText="1"/>
      <protection hidden="1"/>
    </xf>
    <xf numFmtId="0" fontId="6" fillId="0" borderId="0" xfId="3" applyFont="1" applyAlignment="1" applyProtection="1">
      <alignment horizontal="right"/>
      <protection hidden="1"/>
    </xf>
    <xf numFmtId="0" fontId="7" fillId="0" borderId="0" xfId="3" applyFont="1" applyAlignment="1" applyProtection="1">
      <alignment horizontal="left" vertical="center" wrapText="1"/>
      <protection hidden="1"/>
    </xf>
    <xf numFmtId="0" fontId="41" fillId="8" borderId="11" xfId="3" applyFont="1" applyFill="1" applyBorder="1" applyAlignment="1" applyProtection="1">
      <alignment horizontal="left" vertical="top" wrapText="1"/>
      <protection hidden="1"/>
    </xf>
    <xf numFmtId="0" fontId="41" fillId="8" borderId="12" xfId="3" applyFont="1" applyFill="1" applyBorder="1" applyAlignment="1" applyProtection="1">
      <alignment horizontal="left" vertical="top" wrapText="1"/>
      <protection hidden="1"/>
    </xf>
    <xf numFmtId="0" fontId="41" fillId="8" borderId="13" xfId="3" applyFont="1" applyFill="1" applyBorder="1" applyAlignment="1" applyProtection="1">
      <alignment horizontal="left" vertical="top" wrapText="1"/>
      <protection hidden="1"/>
    </xf>
    <xf numFmtId="0" fontId="41" fillId="8" borderId="14" xfId="3" applyFont="1" applyFill="1" applyBorder="1" applyAlignment="1" applyProtection="1">
      <alignment horizontal="left" vertical="top" wrapText="1"/>
      <protection hidden="1"/>
    </xf>
    <xf numFmtId="0" fontId="41" fillId="8" borderId="0" xfId="3" applyFont="1" applyFill="1" applyAlignment="1" applyProtection="1">
      <alignment horizontal="left" vertical="top" wrapText="1"/>
      <protection hidden="1"/>
    </xf>
    <xf numFmtId="0" fontId="41" fillId="8" borderId="15" xfId="3" applyFont="1" applyFill="1" applyBorder="1" applyAlignment="1" applyProtection="1">
      <alignment horizontal="left" vertical="top" wrapText="1"/>
      <protection hidden="1"/>
    </xf>
    <xf numFmtId="0" fontId="41" fillId="8" borderId="16" xfId="3" applyFont="1" applyFill="1" applyBorder="1" applyAlignment="1" applyProtection="1">
      <alignment horizontal="left" vertical="top" wrapText="1"/>
      <protection hidden="1"/>
    </xf>
    <xf numFmtId="0" fontId="41" fillId="8" borderId="17" xfId="3" applyFont="1" applyFill="1" applyBorder="1" applyAlignment="1" applyProtection="1">
      <alignment horizontal="left" vertical="top" wrapText="1"/>
      <protection hidden="1"/>
    </xf>
    <xf numFmtId="0" fontId="41" fillId="8" borderId="18" xfId="3" applyFont="1" applyFill="1" applyBorder="1" applyAlignment="1" applyProtection="1">
      <alignment horizontal="left" vertical="top" wrapText="1"/>
      <protection hidden="1"/>
    </xf>
    <xf numFmtId="0" fontId="42" fillId="0" borderId="0" xfId="3" applyFont="1" applyAlignment="1" applyProtection="1">
      <alignment horizontal="left" vertical="top" wrapText="1"/>
      <protection hidden="1"/>
    </xf>
    <xf numFmtId="0" fontId="6" fillId="0" borderId="0" xfId="0" applyFont="1" applyAlignment="1" applyProtection="1">
      <alignment horizontal="center"/>
      <protection hidden="1"/>
    </xf>
    <xf numFmtId="169" fontId="5" fillId="7" borderId="4" xfId="2" applyNumberFormat="1" applyFont="1" applyFill="1" applyBorder="1" applyAlignment="1" applyProtection="1">
      <alignment horizontal="center"/>
      <protection hidden="1"/>
    </xf>
    <xf numFmtId="169" fontId="5" fillId="7" borderId="8" xfId="2" applyNumberFormat="1" applyFont="1" applyFill="1" applyBorder="1" applyAlignment="1" applyProtection="1">
      <alignment horizontal="center"/>
      <protection hidden="1"/>
    </xf>
    <xf numFmtId="167" fontId="5" fillId="7" borderId="4" xfId="0" applyNumberFormat="1" applyFont="1" applyFill="1" applyBorder="1" applyAlignment="1" applyProtection="1">
      <alignment horizontal="center"/>
      <protection hidden="1"/>
    </xf>
    <xf numFmtId="167" fontId="5" fillId="7" borderId="8" xfId="0" applyNumberFormat="1" applyFont="1" applyFill="1" applyBorder="1" applyAlignment="1" applyProtection="1">
      <alignment horizontal="center"/>
      <protection hidden="1"/>
    </xf>
    <xf numFmtId="0" fontId="5" fillId="0" borderId="0" xfId="0" applyFont="1" applyAlignment="1" applyProtection="1">
      <alignment horizontal="center" vertical="center" wrapText="1"/>
      <protection hidden="1"/>
    </xf>
    <xf numFmtId="0" fontId="5" fillId="0" borderId="7" xfId="0" applyFont="1" applyBorder="1" applyAlignment="1" applyProtection="1">
      <alignment horizontal="center" vertical="center" wrapText="1"/>
      <protection hidden="1"/>
    </xf>
    <xf numFmtId="0" fontId="9" fillId="0" borderId="12" xfId="0" applyFont="1" applyBorder="1" applyAlignment="1" applyProtection="1">
      <alignment horizontal="center" wrapText="1"/>
      <protection hidden="1"/>
    </xf>
    <xf numFmtId="0" fontId="5" fillId="0" borderId="0" xfId="3" applyFont="1" applyAlignment="1" applyProtection="1">
      <alignment horizontal="center" vertical="center"/>
      <protection hidden="1"/>
    </xf>
    <xf numFmtId="178" fontId="4" fillId="0" borderId="0" xfId="3" applyNumberFormat="1" applyFont="1" applyAlignment="1" applyProtection="1">
      <alignment horizontal="left"/>
      <protection hidden="1"/>
    </xf>
  </cellXfs>
  <cellStyles count="5">
    <cellStyle name="Comma" xfId="1" builtinId="3"/>
    <cellStyle name="Hyperlink" xfId="4" builtinId="8"/>
    <cellStyle name="Normal" xfId="0" builtinId="0"/>
    <cellStyle name="Normal 2" xfId="3" xr:uid="{4C2F3F84-220B-4B83-9A91-0839D1813DB0}"/>
    <cellStyle name="Percent" xfId="2" builtinId="5"/>
  </cellStyles>
  <dxfs count="159">
    <dxf>
      <font>
        <color theme="0"/>
      </font>
      <fill>
        <patternFill patternType="none">
          <bgColor auto="1"/>
        </patternFill>
      </fill>
      <border>
        <left/>
        <right/>
        <top/>
        <bottom/>
        <vertical/>
        <horizontal/>
      </border>
    </dxf>
    <dxf>
      <font>
        <condense val="0"/>
        <extend val="0"/>
        <color indexed="9"/>
      </font>
      <fill>
        <patternFill>
          <bgColor indexed="9"/>
        </patternFill>
      </fill>
      <border>
        <left/>
        <right/>
        <top/>
        <bottom/>
      </border>
    </dxf>
    <dxf>
      <font>
        <condense val="0"/>
        <extend val="0"/>
        <color indexed="9"/>
      </font>
      <fill>
        <patternFill>
          <bgColor indexed="9"/>
        </patternFill>
      </fill>
      <border>
        <left/>
        <right/>
        <top/>
        <bottom/>
      </border>
    </dxf>
    <dxf>
      <font>
        <condense val="0"/>
        <extend val="0"/>
        <color indexed="9"/>
      </font>
      <fill>
        <patternFill>
          <bgColor indexed="9"/>
        </patternFill>
      </fill>
      <border>
        <left/>
        <right/>
        <top/>
        <bottom/>
      </border>
    </dxf>
    <dxf>
      <font>
        <color theme="0"/>
      </font>
    </dxf>
    <dxf>
      <fill>
        <patternFill>
          <bgColor rgb="FFCCFFCC"/>
        </patternFill>
      </fill>
    </dxf>
    <dxf>
      <font>
        <color theme="0"/>
      </font>
      <fill>
        <patternFill patternType="none">
          <bgColor auto="1"/>
        </patternFill>
      </fill>
      <border>
        <left/>
        <right/>
        <top/>
        <bottom/>
        <vertical/>
        <horizontal/>
      </border>
    </dxf>
    <dxf>
      <font>
        <condense val="0"/>
        <extend val="0"/>
        <color indexed="9"/>
      </font>
      <fill>
        <patternFill>
          <bgColor indexed="9"/>
        </patternFill>
      </fill>
      <border>
        <left/>
        <right/>
        <top/>
        <bottom/>
      </border>
    </dxf>
    <dxf>
      <font>
        <color theme="0"/>
      </font>
      <fill>
        <patternFill patternType="none">
          <bgColor auto="1"/>
        </patternFill>
      </fill>
      <border>
        <left/>
        <right/>
        <top/>
        <bottom/>
        <vertical/>
        <horizontal/>
      </border>
    </dxf>
    <dxf>
      <font>
        <color theme="0"/>
      </font>
    </dxf>
    <dxf>
      <font>
        <color auto="1"/>
      </font>
      <fill>
        <patternFill>
          <bgColor theme="5" tint="0.59996337778862885"/>
        </patternFill>
      </fill>
    </dxf>
    <dxf>
      <numFmt numFmtId="12" formatCode="&quot;$&quot;#,##0.00_);[Red]\(&quot;$&quot;#,##0.00\)"/>
      <fill>
        <patternFill>
          <bgColor theme="5" tint="0.59996337778862885"/>
        </patternFill>
      </fill>
      <border>
        <left style="thin">
          <color auto="1"/>
        </left>
        <right style="thin">
          <color auto="1"/>
        </right>
        <top style="thin">
          <color auto="1"/>
        </top>
        <bottom style="thin">
          <color auto="1"/>
        </bottom>
      </border>
    </dxf>
    <dxf>
      <numFmt numFmtId="12" formatCode="&quot;$&quot;#,##0.00_);[Red]\(&quot;$&quot;#,##0.00\)"/>
      <fill>
        <patternFill>
          <bgColor theme="5" tint="0.59996337778862885"/>
        </patternFill>
      </fill>
      <border>
        <left style="thin">
          <color auto="1"/>
        </left>
        <right style="thin">
          <color auto="1"/>
        </right>
        <top style="thin">
          <color auto="1"/>
        </top>
        <bottom style="thin">
          <color auto="1"/>
        </bottom>
      </border>
    </dxf>
    <dxf>
      <numFmt numFmtId="12" formatCode="&quot;$&quot;#,##0.00_);[Red]\(&quot;$&quot;#,##0.00\)"/>
      <fill>
        <patternFill>
          <bgColor theme="5" tint="0.59996337778862885"/>
        </patternFill>
      </fill>
      <border>
        <left style="thin">
          <color auto="1"/>
        </left>
        <right style="thin">
          <color auto="1"/>
        </right>
        <top style="thin">
          <color auto="1"/>
        </top>
        <bottom style="thin">
          <color auto="1"/>
        </bottom>
      </border>
    </dxf>
    <dxf>
      <numFmt numFmtId="12" formatCode="&quot;$&quot;#,##0.00_);[Red]\(&quot;$&quot;#,##0.00\)"/>
      <fill>
        <patternFill>
          <bgColor theme="5" tint="0.59996337778862885"/>
        </patternFill>
      </fill>
      <border>
        <left style="thin">
          <color auto="1"/>
        </left>
        <right style="thin">
          <color auto="1"/>
        </right>
        <top style="thin">
          <color auto="1"/>
        </top>
        <bottom style="thin">
          <color auto="1"/>
        </bottom>
      </border>
    </dxf>
    <dxf>
      <fill>
        <patternFill>
          <bgColor theme="5" tint="0.59996337778862885"/>
        </patternFill>
      </fill>
    </dxf>
    <dxf>
      <fill>
        <patternFill>
          <bgColor theme="5" tint="0.59996337778862885"/>
        </patternFill>
      </fill>
    </dxf>
    <dxf>
      <font>
        <color theme="0"/>
      </font>
      <fill>
        <patternFill>
          <bgColor theme="0"/>
        </patternFill>
      </fill>
    </dxf>
    <dxf>
      <fill>
        <patternFill>
          <bgColor theme="5" tint="0.59996337778862885"/>
        </patternFill>
      </fill>
    </dxf>
    <dxf>
      <font>
        <color auto="1"/>
      </font>
      <fill>
        <patternFill>
          <bgColor rgb="FFCCFFCC"/>
        </patternFill>
      </fill>
    </dxf>
    <dxf>
      <font>
        <color theme="0"/>
      </font>
      <fill>
        <patternFill>
          <bgColor theme="0"/>
        </patternFill>
      </fill>
    </dxf>
    <dxf>
      <fill>
        <patternFill>
          <bgColor theme="4" tint="0.79998168889431442"/>
        </patternFill>
      </fill>
    </dxf>
    <dxf>
      <fill>
        <patternFill>
          <bgColor theme="4" tint="0.79998168889431442"/>
        </patternFill>
      </fill>
    </dxf>
    <dxf>
      <fill>
        <patternFill>
          <bgColor theme="5" tint="0.59996337778862885"/>
        </patternFill>
      </fill>
    </dxf>
    <dxf>
      <fill>
        <patternFill>
          <bgColor theme="4" tint="0.79998168889431442"/>
        </patternFill>
      </fill>
    </dxf>
    <dxf>
      <fill>
        <patternFill>
          <bgColor theme="5" tint="0.59996337778862885"/>
        </patternFill>
      </fill>
    </dxf>
    <dxf>
      <fill>
        <patternFill>
          <bgColor theme="4" tint="0.79998168889431442"/>
        </patternFill>
      </fill>
    </dxf>
    <dxf>
      <fill>
        <patternFill>
          <bgColor theme="4" tint="0.79998168889431442"/>
        </patternFill>
      </fill>
    </dxf>
    <dxf>
      <fill>
        <patternFill>
          <bgColor theme="5" tint="0.59996337778862885"/>
        </patternFill>
      </fill>
    </dxf>
    <dxf>
      <fill>
        <patternFill>
          <bgColor theme="4" tint="0.79998168889431442"/>
        </patternFill>
      </fill>
    </dxf>
    <dxf>
      <fill>
        <patternFill>
          <bgColor theme="4" tint="0.79998168889431442"/>
        </patternFill>
      </fill>
    </dxf>
    <dxf>
      <fill>
        <patternFill>
          <bgColor theme="5" tint="0.59996337778862885"/>
        </patternFill>
      </fill>
    </dxf>
    <dxf>
      <fill>
        <patternFill>
          <bgColor theme="4" tint="0.79998168889431442"/>
        </patternFill>
      </fill>
    </dxf>
    <dxf>
      <fill>
        <patternFill>
          <bgColor theme="4" tint="0.79998168889431442"/>
        </patternFill>
      </fill>
    </dxf>
    <dxf>
      <fill>
        <patternFill>
          <bgColor theme="5" tint="0.59996337778862885"/>
        </patternFill>
      </fill>
    </dxf>
    <dxf>
      <fill>
        <patternFill>
          <bgColor theme="4" tint="0.79998168889431442"/>
        </patternFill>
      </fill>
    </dxf>
    <dxf>
      <fill>
        <patternFill>
          <bgColor theme="5" tint="0.59996337778862885"/>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5" tint="0.59996337778862885"/>
        </patternFill>
      </fill>
    </dxf>
    <dxf>
      <fill>
        <patternFill>
          <bgColor theme="5" tint="0.59996337778862885"/>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5" tint="0.59996337778862885"/>
        </patternFill>
      </fill>
    </dxf>
    <dxf>
      <fill>
        <patternFill>
          <bgColor theme="4" tint="0.79998168889431442"/>
        </patternFill>
      </fill>
    </dxf>
    <dxf>
      <fill>
        <patternFill>
          <bgColor theme="4" tint="0.79998168889431442"/>
        </patternFill>
      </fill>
    </dxf>
    <dxf>
      <fill>
        <patternFill>
          <bgColor theme="5" tint="0.59996337778862885"/>
        </patternFill>
      </fill>
    </dxf>
    <dxf>
      <fill>
        <patternFill>
          <bgColor theme="4" tint="0.79998168889431442"/>
        </patternFill>
      </fill>
    </dxf>
    <dxf>
      <fill>
        <patternFill>
          <bgColor theme="4" tint="0.79998168889431442"/>
        </patternFill>
      </fill>
    </dxf>
    <dxf>
      <fill>
        <patternFill>
          <bgColor theme="5" tint="0.59996337778862885"/>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5" tint="0.59996337778862885"/>
        </patternFill>
      </fill>
    </dxf>
    <dxf>
      <fill>
        <patternFill>
          <bgColor theme="4" tint="0.79998168889431442"/>
        </patternFill>
      </fill>
    </dxf>
    <dxf>
      <fill>
        <patternFill>
          <bgColor theme="4" tint="0.79998168889431442"/>
        </patternFill>
      </fill>
    </dxf>
    <dxf>
      <fill>
        <patternFill>
          <bgColor theme="5" tint="0.59996337778862885"/>
        </patternFill>
      </fill>
    </dxf>
    <dxf>
      <fill>
        <patternFill>
          <bgColor theme="4" tint="0.79998168889431442"/>
        </patternFill>
      </fill>
    </dxf>
    <dxf>
      <fill>
        <patternFill>
          <bgColor theme="4" tint="0.79998168889431442"/>
        </patternFill>
      </fill>
    </dxf>
    <dxf>
      <fill>
        <patternFill>
          <bgColor theme="5" tint="0.59996337778862885"/>
        </patternFill>
      </fill>
    </dxf>
    <dxf>
      <fill>
        <patternFill>
          <bgColor theme="4" tint="0.79998168889431442"/>
        </patternFill>
      </fill>
    </dxf>
    <dxf>
      <fill>
        <patternFill>
          <bgColor theme="4" tint="0.79998168889431442"/>
        </patternFill>
      </fill>
    </dxf>
    <dxf>
      <fill>
        <patternFill>
          <bgColor theme="5" tint="0.59996337778862885"/>
        </patternFill>
      </fill>
    </dxf>
    <dxf>
      <font>
        <color theme="0"/>
      </font>
    </dxf>
    <dxf>
      <fill>
        <patternFill>
          <bgColor theme="4" tint="0.79998168889431442"/>
        </patternFill>
      </fill>
    </dxf>
    <dxf>
      <fill>
        <patternFill>
          <bgColor theme="5" tint="0.59996337778862885"/>
        </patternFill>
      </fill>
    </dxf>
    <dxf>
      <font>
        <color rgb="FF9C0006"/>
      </font>
      <fill>
        <patternFill>
          <bgColor theme="5" tint="0.59996337778862885"/>
        </patternFill>
      </fill>
      <border>
        <left style="thin">
          <color auto="1"/>
        </left>
        <right style="thin">
          <color auto="1"/>
        </right>
        <top style="thin">
          <color auto="1"/>
        </top>
        <bottom style="thin">
          <color auto="1"/>
        </bottom>
      </border>
    </dxf>
    <dxf>
      <font>
        <color rgb="FF9C0006"/>
      </font>
      <fill>
        <patternFill>
          <bgColor theme="5" tint="0.59996337778862885"/>
        </patternFill>
      </fill>
    </dxf>
    <dxf>
      <font>
        <condense val="0"/>
        <extend val="0"/>
        <color indexed="9"/>
      </font>
      <fill>
        <patternFill>
          <bgColor indexed="9"/>
        </patternFill>
      </fill>
      <border>
        <left/>
        <right/>
        <top/>
        <bottom/>
      </border>
    </dxf>
    <dxf>
      <font>
        <color theme="0"/>
      </font>
      <fill>
        <patternFill patternType="none">
          <bgColor auto="1"/>
        </patternFill>
      </fill>
      <border>
        <left/>
        <right/>
        <top style="thin">
          <color auto="1"/>
        </top>
        <bottom style="thin">
          <color auto="1"/>
        </bottom>
        <vertical/>
        <horizontal/>
      </border>
    </dxf>
    <dxf>
      <fill>
        <patternFill>
          <bgColor theme="5" tint="0.59996337778862885"/>
        </patternFill>
      </fill>
    </dxf>
    <dxf>
      <font>
        <color theme="0"/>
      </font>
      <fill>
        <patternFill patternType="none">
          <bgColor auto="1"/>
        </patternFill>
      </fill>
      <border>
        <left/>
        <right/>
        <top style="thin">
          <color auto="1"/>
        </top>
        <bottom style="thin">
          <color auto="1"/>
        </bottom>
      </border>
    </dxf>
    <dxf>
      <font>
        <condense val="0"/>
        <extend val="0"/>
        <color indexed="42"/>
      </font>
      <fill>
        <patternFill>
          <bgColor indexed="42"/>
        </patternFill>
      </fill>
      <border>
        <left/>
        <right/>
        <top/>
        <bottom/>
      </border>
    </dxf>
    <dxf>
      <font>
        <color rgb="FF9C0006"/>
      </font>
      <fill>
        <patternFill>
          <bgColor rgb="FFFFC7CE"/>
        </patternFill>
      </fill>
    </dxf>
    <dxf>
      <font>
        <color theme="0"/>
      </font>
    </dxf>
    <dxf>
      <font>
        <color theme="0"/>
      </font>
    </dxf>
    <dxf>
      <font>
        <color theme="0"/>
      </font>
      <fill>
        <patternFill patternType="none">
          <bgColor auto="1"/>
        </patternFill>
      </fill>
      <border>
        <left/>
        <right/>
        <top/>
        <bottom/>
        <vertical/>
        <horizontal/>
      </border>
    </dxf>
    <dxf>
      <font>
        <condense val="0"/>
        <extend val="0"/>
        <color indexed="42"/>
      </font>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auto="1"/>
      </font>
      <fill>
        <patternFill>
          <bgColor theme="4" tint="0.79998168889431442"/>
        </patternFill>
      </fill>
    </dxf>
    <dxf>
      <font>
        <color rgb="FF9C0006"/>
      </font>
      <fill>
        <patternFill>
          <bgColor rgb="FFFFC7CE"/>
        </patternFill>
      </fill>
    </dxf>
    <dxf>
      <font>
        <condense val="0"/>
        <extend val="0"/>
        <color indexed="9"/>
      </font>
      <fill>
        <patternFill>
          <bgColor indexed="9"/>
        </patternFill>
      </fill>
      <border>
        <left/>
        <right/>
        <top/>
        <bottom/>
      </border>
    </dxf>
    <dxf>
      <font>
        <condense val="0"/>
        <extend val="0"/>
        <color indexed="9"/>
      </font>
      <fill>
        <patternFill>
          <bgColor indexed="9"/>
        </patternFill>
      </fill>
      <border>
        <left/>
        <right/>
        <top/>
        <bottom/>
      </border>
    </dxf>
    <dxf>
      <font>
        <condense val="0"/>
        <extend val="0"/>
        <color indexed="9"/>
      </font>
      <fill>
        <patternFill>
          <bgColor indexed="9"/>
        </patternFill>
      </fill>
      <border>
        <left/>
        <right/>
        <top/>
        <bottom/>
      </border>
    </dxf>
    <dxf>
      <font>
        <condense val="0"/>
        <extend val="0"/>
        <color indexed="9"/>
      </font>
    </dxf>
    <dxf>
      <font>
        <condense val="0"/>
        <extend val="0"/>
        <color indexed="9"/>
      </font>
      <fill>
        <patternFill>
          <bgColor indexed="9"/>
        </patternFill>
      </fill>
      <border>
        <left/>
        <right/>
        <top/>
        <bottom/>
      </border>
    </dxf>
    <dxf>
      <font>
        <condense val="0"/>
        <extend val="0"/>
        <color indexed="9"/>
      </font>
      <fill>
        <patternFill>
          <bgColor indexed="9"/>
        </patternFill>
      </fill>
      <border>
        <left/>
        <right/>
        <top/>
        <bottom/>
      </border>
    </dxf>
    <dxf>
      <font>
        <color theme="0"/>
      </font>
    </dxf>
    <dxf>
      <fill>
        <patternFill>
          <bgColor rgb="FFCCFFCC"/>
        </patternFill>
      </fill>
    </dxf>
    <dxf>
      <font>
        <color theme="0"/>
      </font>
      <fill>
        <patternFill patternType="none">
          <bgColor auto="1"/>
        </patternFill>
      </fill>
      <border>
        <left/>
        <right/>
        <top/>
        <bottom/>
        <vertical/>
        <horizontal/>
      </border>
    </dxf>
    <dxf>
      <font>
        <b/>
        <i val="0"/>
        <condense val="0"/>
        <extend val="0"/>
        <color auto="1"/>
      </font>
      <fill>
        <patternFill>
          <bgColor theme="5" tint="0.59996337778862885"/>
        </patternFill>
      </fill>
    </dxf>
    <dxf>
      <fill>
        <patternFill>
          <bgColor theme="1"/>
        </patternFill>
      </fill>
    </dxf>
    <dxf>
      <fill>
        <patternFill>
          <bgColor theme="5" tint="0.59996337778862885"/>
        </patternFill>
      </fill>
      <border>
        <left style="thin">
          <color auto="1"/>
        </left>
        <right style="thin">
          <color auto="1"/>
        </right>
        <top style="thin">
          <color auto="1"/>
        </top>
        <bottom style="thin">
          <color auto="1"/>
        </bottom>
      </border>
    </dxf>
    <dxf>
      <fill>
        <patternFill>
          <bgColor theme="4" tint="0.79998168889431442"/>
        </patternFill>
      </fill>
      <border>
        <left style="thin">
          <color auto="1"/>
        </left>
        <right style="thin">
          <color auto="1"/>
        </right>
        <top style="thin">
          <color auto="1"/>
        </top>
        <bottom style="thin">
          <color auto="1"/>
        </bottom>
        <vertical/>
        <horizontal/>
      </border>
    </dxf>
    <dxf>
      <fill>
        <patternFill>
          <bgColor theme="1"/>
        </patternFill>
      </fill>
    </dxf>
    <dxf>
      <fill>
        <patternFill>
          <bgColor theme="5" tint="0.59996337778862885"/>
        </patternFill>
      </fill>
      <border>
        <left style="thin">
          <color auto="1"/>
        </left>
        <right style="thin">
          <color auto="1"/>
        </right>
        <top style="thin">
          <color auto="1"/>
        </top>
        <bottom style="thin">
          <color auto="1"/>
        </bottom>
      </border>
    </dxf>
    <dxf>
      <fill>
        <patternFill>
          <bgColor theme="4" tint="0.79998168889431442"/>
        </patternFill>
      </fill>
      <border>
        <left style="thin">
          <color auto="1"/>
        </left>
        <right style="thin">
          <color auto="1"/>
        </right>
        <top style="thin">
          <color auto="1"/>
        </top>
        <bottom style="thin">
          <color auto="1"/>
        </bottom>
        <vertical/>
        <horizontal/>
      </border>
    </dxf>
    <dxf>
      <font>
        <color theme="0"/>
      </font>
      <fill>
        <patternFill>
          <bgColor theme="0"/>
        </patternFill>
      </fill>
    </dxf>
    <dxf>
      <fill>
        <patternFill>
          <bgColor theme="1"/>
        </patternFill>
      </fill>
    </dxf>
    <dxf>
      <font>
        <color theme="0"/>
      </font>
    </dxf>
    <dxf>
      <font>
        <b/>
        <i val="0"/>
        <condense val="0"/>
        <extend val="0"/>
        <color auto="1"/>
      </font>
      <fill>
        <patternFill>
          <bgColor theme="5" tint="0.59996337778862885"/>
        </patternFill>
      </fill>
    </dxf>
    <dxf>
      <font>
        <color theme="0"/>
      </font>
    </dxf>
    <dxf>
      <font>
        <color theme="0"/>
      </font>
      <fill>
        <patternFill>
          <bgColor theme="0"/>
        </patternFill>
      </fill>
      <border>
        <left/>
        <right/>
        <top/>
        <bottom/>
        <vertical/>
        <horizontal/>
      </border>
    </dxf>
    <dxf>
      <fill>
        <patternFill>
          <bgColor theme="5" tint="0.59996337778862885"/>
        </patternFill>
      </fill>
    </dxf>
    <dxf>
      <fill>
        <patternFill>
          <bgColor theme="5" tint="0.59996337778862885"/>
        </patternFill>
      </fill>
    </dxf>
    <dxf>
      <font>
        <color theme="0"/>
      </font>
      <fill>
        <patternFill>
          <bgColor theme="0"/>
        </patternFill>
      </fill>
      <border>
        <left/>
        <right/>
        <top/>
        <bottom style="thin">
          <color auto="1"/>
        </bottom>
        <vertical/>
        <horizontal/>
      </border>
    </dxf>
    <dxf>
      <fill>
        <patternFill>
          <bgColor theme="5" tint="0.59996337778862885"/>
        </patternFill>
      </fill>
    </dxf>
    <dxf>
      <font>
        <color theme="0"/>
      </font>
    </dxf>
    <dxf>
      <font>
        <color theme="0"/>
      </font>
      <fill>
        <patternFill>
          <bgColor theme="0"/>
        </patternFill>
      </fill>
      <border>
        <left style="thin">
          <color auto="1"/>
        </left>
        <right/>
        <top/>
        <bottom/>
        <vertical/>
        <horizontal/>
      </border>
    </dxf>
    <dxf>
      <font>
        <color theme="0"/>
      </font>
    </dxf>
    <dxf>
      <font>
        <color theme="0"/>
      </font>
      <fill>
        <patternFill patternType="none">
          <bgColor auto="1"/>
        </patternFill>
      </fill>
      <border>
        <left/>
        <right/>
        <top/>
        <bottom/>
        <vertical/>
        <horizontal/>
      </border>
    </dxf>
    <dxf>
      <font>
        <color theme="0"/>
      </font>
      <fill>
        <patternFill>
          <bgColor theme="0"/>
        </patternFill>
      </fill>
      <border>
        <left/>
        <right/>
        <top/>
        <bottom/>
        <vertical/>
        <horizontal/>
      </border>
    </dxf>
    <dxf>
      <font>
        <color theme="0"/>
      </font>
      <fill>
        <patternFill>
          <bgColor theme="0"/>
        </patternFill>
      </fill>
      <border>
        <left/>
        <right/>
        <top/>
        <bottom/>
        <vertical/>
        <horizontal/>
      </border>
    </dxf>
    <dxf>
      <fill>
        <patternFill>
          <bgColor theme="1"/>
        </patternFill>
      </fill>
    </dxf>
    <dxf>
      <fill>
        <patternFill>
          <bgColor theme="1"/>
        </patternFill>
      </fill>
    </dxf>
    <dxf>
      <font>
        <condense val="0"/>
        <extend val="0"/>
        <color indexed="9"/>
      </font>
      <fill>
        <patternFill>
          <bgColor indexed="9"/>
        </patternFill>
      </fill>
      <border>
        <left/>
        <right/>
        <top/>
        <bottom/>
      </border>
    </dxf>
    <dxf>
      <font>
        <condense val="0"/>
        <extend val="0"/>
        <color indexed="9"/>
      </font>
    </dxf>
    <dxf>
      <fill>
        <patternFill>
          <bgColor theme="0"/>
        </patternFill>
      </fill>
      <border>
        <left/>
        <right/>
        <top/>
        <bottom/>
      </border>
    </dxf>
    <dxf>
      <fill>
        <patternFill>
          <bgColor theme="0"/>
        </patternFill>
      </fill>
      <border>
        <left/>
        <right/>
        <top/>
        <bottom/>
      </border>
    </dxf>
    <dxf>
      <fill>
        <patternFill>
          <bgColor theme="0"/>
        </patternFill>
      </fill>
      <border>
        <left/>
        <right/>
        <top/>
        <bottom/>
      </border>
    </dxf>
    <dxf>
      <fill>
        <patternFill>
          <bgColor theme="0"/>
        </patternFill>
      </fill>
      <border>
        <left/>
        <right/>
        <top/>
        <bottom/>
      </border>
    </dxf>
    <dxf>
      <font>
        <b/>
        <i val="0"/>
        <color auto="1"/>
      </font>
      <fill>
        <patternFill>
          <bgColor theme="2" tint="-9.9948118533890809E-2"/>
        </patternFill>
      </fill>
      <border>
        <left/>
        <right/>
        <top/>
        <bottom/>
        <vertical/>
        <horizontal/>
      </border>
    </dxf>
    <dxf>
      <font>
        <b/>
        <i val="0"/>
        <color auto="1"/>
      </font>
      <fill>
        <patternFill>
          <bgColor theme="2" tint="-9.9948118533890809E-2"/>
        </patternFill>
      </fill>
      <border>
        <left/>
        <right/>
        <top/>
        <bottom/>
        <vertical/>
        <horizontal/>
      </border>
    </dxf>
    <dxf>
      <font>
        <b/>
        <i val="0"/>
        <color auto="1"/>
      </font>
      <fill>
        <patternFill>
          <bgColor theme="2" tint="-9.9948118533890809E-2"/>
        </patternFill>
      </fill>
      <border>
        <left/>
        <right/>
        <top/>
        <bottom/>
        <vertical/>
        <horizontal/>
      </border>
    </dxf>
    <dxf>
      <font>
        <b/>
        <i val="0"/>
        <color auto="1"/>
      </font>
      <fill>
        <patternFill>
          <bgColor theme="2" tint="-9.9948118533890809E-2"/>
        </patternFill>
      </fill>
      <border>
        <left/>
        <right/>
        <top/>
        <bottom/>
        <vertical/>
        <horizontal/>
      </border>
    </dxf>
    <dxf>
      <fill>
        <patternFill>
          <bgColor theme="0"/>
        </patternFill>
      </fill>
      <border>
        <left/>
        <right/>
        <top/>
        <bottom/>
      </border>
    </dxf>
    <dxf>
      <fill>
        <patternFill>
          <bgColor theme="0"/>
        </patternFill>
      </fill>
      <border>
        <left/>
        <right/>
        <top/>
        <bottom/>
      </border>
    </dxf>
    <dxf>
      <fill>
        <patternFill>
          <bgColor theme="0"/>
        </patternFill>
      </fill>
      <border>
        <left/>
        <right/>
        <top/>
        <bottom/>
      </border>
    </dxf>
    <dxf>
      <fill>
        <patternFill>
          <bgColor theme="0"/>
        </patternFill>
      </fill>
      <border>
        <left/>
        <right/>
        <top/>
        <bottom/>
      </border>
    </dxf>
    <dxf>
      <fill>
        <patternFill>
          <bgColor theme="0"/>
        </patternFill>
      </fill>
    </dxf>
    <dxf>
      <fill>
        <patternFill patternType="solid">
          <bgColor theme="0"/>
        </patternFill>
      </fill>
      <border>
        <left style="thin">
          <color auto="1"/>
        </left>
        <right/>
        <top/>
        <bottom/>
      </border>
    </dxf>
    <dxf>
      <fill>
        <patternFill patternType="solid">
          <bgColor theme="0"/>
        </patternFill>
      </fill>
      <border>
        <left style="thin">
          <color auto="1"/>
        </left>
        <right/>
        <top/>
        <bottom/>
      </border>
    </dxf>
    <dxf>
      <fill>
        <patternFill patternType="solid">
          <bgColor theme="0"/>
        </patternFill>
      </fill>
      <border>
        <left style="thin">
          <color auto="1"/>
        </left>
        <right/>
        <top/>
        <bottom/>
      </border>
    </dxf>
    <dxf>
      <fill>
        <patternFill patternType="solid">
          <bgColor theme="0"/>
        </patternFill>
      </fill>
      <border>
        <left/>
        <right/>
        <top/>
        <bottom/>
      </border>
    </dxf>
    <dxf>
      <fill>
        <patternFill>
          <bgColor theme="0"/>
        </patternFill>
      </fill>
      <border>
        <left/>
        <right/>
        <top/>
        <bottom/>
      </border>
    </dxf>
    <dxf>
      <font>
        <color theme="0"/>
      </font>
      <border>
        <left style="thin">
          <color auto="1"/>
        </left>
        <right/>
        <top/>
        <bottom/>
        <vertical/>
        <horizontal/>
      </border>
    </dxf>
    <dxf>
      <font>
        <color theme="0"/>
      </font>
      <fill>
        <patternFill>
          <bgColor theme="0"/>
        </patternFill>
      </fill>
      <border>
        <left/>
        <right/>
        <top/>
        <bottom/>
      </border>
    </dxf>
    <dxf>
      <font>
        <color theme="0"/>
      </font>
      <fill>
        <patternFill patternType="none">
          <bgColor auto="1"/>
        </patternFill>
      </fill>
      <border>
        <left/>
        <right/>
        <top/>
        <bottom/>
        <vertical/>
        <horizontal/>
      </border>
    </dxf>
    <dxf>
      <font>
        <color theme="0"/>
      </font>
      <fill>
        <patternFill>
          <bgColor theme="0"/>
        </patternFill>
      </fill>
      <border>
        <left/>
        <right/>
        <top/>
        <bottom/>
      </border>
    </dxf>
    <dxf>
      <font>
        <color theme="0"/>
      </font>
      <fill>
        <patternFill patternType="none">
          <bgColor auto="1"/>
        </patternFill>
      </fill>
      <border>
        <left/>
        <right/>
        <top/>
        <bottom/>
        <vertical/>
        <horizontal/>
      </border>
    </dxf>
    <dxf>
      <font>
        <color theme="0"/>
      </font>
      <fill>
        <patternFill patternType="none">
          <bgColor auto="1"/>
        </patternFill>
      </fill>
      <border>
        <left/>
        <right/>
        <top/>
        <bottom/>
        <vertical/>
        <horizontal/>
      </border>
    </dxf>
    <dxf>
      <font>
        <color theme="0"/>
      </font>
      <fill>
        <patternFill patternType="none">
          <bgColor auto="1"/>
        </patternFill>
      </fill>
      <border>
        <left/>
        <right/>
        <top/>
        <bottom/>
        <vertical/>
        <horizontal/>
      </border>
    </dxf>
    <dxf>
      <font>
        <color theme="0"/>
      </font>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mruColors>
      <color rgb="FFDCE6F1"/>
      <color rgb="FFCCFFCC"/>
      <color rgb="FFFFFFCC"/>
      <color rgb="FFFFFF99"/>
      <color rgb="FFFFCC99"/>
      <color rgb="FFFFCC66"/>
      <color rgb="FFFFCC00"/>
      <color rgb="FFFF99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18" Type="http://schemas.openxmlformats.org/officeDocument/2006/relationships/customXml" Target="../customXml/item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17" Type="http://schemas.openxmlformats.org/officeDocument/2006/relationships/customXml" Target="../customXml/item2.xml"/><Relationship Id="rId2" Type="http://schemas.openxmlformats.org/officeDocument/2006/relationships/worksheet" Target="worksheets/sheet2.xml"/><Relationship Id="rId16" Type="http://schemas.openxmlformats.org/officeDocument/2006/relationships/customXml" Target="../customXml/item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1.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drawings/_rels/drawing3.xml.rels><?xml version="1.0" encoding="UTF-8" standalone="yes"?>
<Relationships xmlns="http://schemas.openxmlformats.org/package/2006/relationships"><Relationship Id="rId3" Type="http://schemas.openxmlformats.org/officeDocument/2006/relationships/image" Target="../media/image5.png"/><Relationship Id="rId2" Type="http://schemas.openxmlformats.org/officeDocument/2006/relationships/image" Target="../media/image4.png"/><Relationship Id="rId1" Type="http://schemas.openxmlformats.org/officeDocument/2006/relationships/image" Target="../media/image3.png"/><Relationship Id="rId4" Type="http://schemas.openxmlformats.org/officeDocument/2006/relationships/image" Target="cid:image001.gif@01CC8829.1FDF8240" TargetMode="External"/></Relationships>
</file>

<file path=xl/drawings/_rels/vmlDrawing1.vml.rels><?xml version="1.0" encoding="UTF-8" standalone="yes"?>
<Relationships xmlns="http://schemas.openxmlformats.org/package/2006/relationships"><Relationship Id="rId2" Type="http://schemas.openxmlformats.org/officeDocument/2006/relationships/image" Target="../media/image2.emf"/><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xdr:twoCellAnchor>
    <xdr:from>
      <xdr:col>0</xdr:col>
      <xdr:colOff>219075</xdr:colOff>
      <xdr:row>1</xdr:row>
      <xdr:rowOff>118110</xdr:rowOff>
    </xdr:from>
    <xdr:to>
      <xdr:col>8</xdr:col>
      <xdr:colOff>104775</xdr:colOff>
      <xdr:row>27</xdr:row>
      <xdr:rowOff>66711</xdr:rowOff>
    </xdr:to>
    <xdr:sp macro="" textlink="">
      <xdr:nvSpPr>
        <xdr:cNvPr id="2" name="TextBox 1">
          <a:extLst>
            <a:ext uri="{FF2B5EF4-FFF2-40B4-BE49-F238E27FC236}">
              <a16:creationId xmlns:a16="http://schemas.microsoft.com/office/drawing/2014/main" id="{00000000-0008-0000-0000-000002000000}"/>
            </a:ext>
          </a:extLst>
        </xdr:cNvPr>
        <xdr:cNvSpPr txBox="1"/>
      </xdr:nvSpPr>
      <xdr:spPr>
        <a:xfrm>
          <a:off x="219075" y="285750"/>
          <a:ext cx="4762500" cy="415290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a:solidFill>
                <a:schemeClr val="dk1"/>
              </a:solidFill>
              <a:effectLst/>
              <a:latin typeface="+mn-lt"/>
              <a:ea typeface="+mn-ea"/>
              <a:cs typeface="+mn-cs"/>
            </a:rPr>
            <a:t>Important Disclaimer</a:t>
          </a:r>
        </a:p>
        <a:p>
          <a:r>
            <a:rPr lang="en-US" sz="1100">
              <a:solidFill>
                <a:schemeClr val="dk1"/>
              </a:solidFill>
              <a:effectLst/>
              <a:latin typeface="+mn-lt"/>
              <a:ea typeface="+mn-ea"/>
              <a:cs typeface="+mn-cs"/>
            </a:rPr>
            <a:t> </a:t>
          </a:r>
        </a:p>
        <a:p>
          <a:r>
            <a:rPr lang="en-US" sz="1100">
              <a:solidFill>
                <a:schemeClr val="dk1"/>
              </a:solidFill>
              <a:effectLst/>
              <a:latin typeface="+mn-lt"/>
              <a:ea typeface="+mn-ea"/>
              <a:cs typeface="+mn-cs"/>
            </a:rPr>
            <a:t>This Levy Calculation Form is a worksheet that allows the District to calculate and analyze the available levy and extension amounts and is prepared for informational purposes only. Reasonable efforts and generally accepted methods of calculation have been incorporated into the spreadsheets. However, PMA Securties (PMA) takes no responsibility for the accuracy of the output and it is highly recommended that users verify calculations independently. The data input, projections, and assumptions provided in this form are based on the information provided by the District. PMA will not verify the accuracy of the data provided by the District and is not responsible for any inaccuracies or incompleteness that appears in the data provided in this form.  </a:t>
          </a:r>
        </a:p>
        <a:p>
          <a:r>
            <a:rPr lang="en-US" sz="1100">
              <a:solidFill>
                <a:schemeClr val="dk1"/>
              </a:solidFill>
              <a:effectLst/>
              <a:latin typeface="+mn-lt"/>
              <a:ea typeface="+mn-ea"/>
              <a:cs typeface="+mn-cs"/>
            </a:rPr>
            <a:t> </a:t>
          </a:r>
        </a:p>
        <a:p>
          <a:r>
            <a:rPr lang="en-US" sz="1100">
              <a:solidFill>
                <a:schemeClr val="dk1"/>
              </a:solidFill>
              <a:effectLst/>
              <a:latin typeface="+mn-lt"/>
              <a:ea typeface="+mn-ea"/>
              <a:cs typeface="+mn-cs"/>
            </a:rPr>
            <a:t> </a:t>
          </a:r>
        </a:p>
        <a:p>
          <a:endParaRPr lang="en-US" sz="1100"/>
        </a:p>
      </xdr:txBody>
    </xdr:sp>
    <xdr:clientData/>
  </xdr:twoCellAnchor>
</xdr:wsDr>
</file>

<file path=xl/drawings/drawing2.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0</xdr:col>
          <xdr:colOff>107950</xdr:colOff>
          <xdr:row>2</xdr:row>
          <xdr:rowOff>31750</xdr:rowOff>
        </xdr:from>
        <xdr:to>
          <xdr:col>8</xdr:col>
          <xdr:colOff>565150</xdr:colOff>
          <xdr:row>60</xdr:row>
          <xdr:rowOff>139700</xdr:rowOff>
        </xdr:to>
        <xdr:sp macro="" textlink="">
          <xdr:nvSpPr>
            <xdr:cNvPr id="3073" name="Object 1" hidden="1">
              <a:extLst>
                <a:ext uri="{63B3BB69-23CF-44E3-9099-C40C66FF867C}">
                  <a14:compatExt spid="_x0000_s3073"/>
                </a:ext>
                <a:ext uri="{FF2B5EF4-FFF2-40B4-BE49-F238E27FC236}">
                  <a16:creationId xmlns:a16="http://schemas.microsoft.com/office/drawing/2014/main" id="{00000000-0008-0000-0100-000001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114300</xdr:colOff>
          <xdr:row>62</xdr:row>
          <xdr:rowOff>69850</xdr:rowOff>
        </xdr:from>
        <xdr:to>
          <xdr:col>8</xdr:col>
          <xdr:colOff>533400</xdr:colOff>
          <xdr:row>106</xdr:row>
          <xdr:rowOff>31750</xdr:rowOff>
        </xdr:to>
        <xdr:sp macro="" textlink="">
          <xdr:nvSpPr>
            <xdr:cNvPr id="3075" name="Object 3" hidden="1">
              <a:extLst>
                <a:ext uri="{63B3BB69-23CF-44E3-9099-C40C66FF867C}">
                  <a14:compatExt spid="_x0000_s3075"/>
                </a:ext>
                <a:ext uri="{FF2B5EF4-FFF2-40B4-BE49-F238E27FC236}">
                  <a16:creationId xmlns:a16="http://schemas.microsoft.com/office/drawing/2014/main" id="{00000000-0008-0000-0100-0000030C0000}"/>
                </a:ext>
              </a:extLst>
            </xdr:cNvPr>
            <xdr:cNvSpPr/>
          </xdr:nvSpPr>
          <xdr:spPr bwMode="auto">
            <a:xfrm>
              <a:off x="0" y="0"/>
              <a:ext cx="0" cy="0"/>
            </a:xfrm>
            <a:prstGeom prst="rect">
              <a:avLst/>
            </a:prstGeom>
            <a:solidFill>
              <a:srgbClr val="FFFFFF" mc:Ignorable="a14" a14:legacySpreadsheetColorIndex="65"/>
            </a:solidFill>
            <a:ln w="9525">
              <a:solidFill>
                <a:srgbClr val="000000" mc:Ignorable="a14" a14:legacySpreadsheetColorIndex="64"/>
              </a:solidFill>
              <a:miter lim="800000"/>
              <a:headEnd/>
              <a:tailEnd/>
            </a:ln>
          </xdr:spPr>
        </xdr:sp>
        <xdr:clientData/>
      </xdr:twoCellAnchor>
    </mc:Choice>
    <mc:Fallback/>
  </mc:AlternateContent>
</xdr:wsDr>
</file>

<file path=xl/drawings/drawing3.xml><?xml version="1.0" encoding="utf-8"?>
<xdr:wsDr xmlns:xdr="http://schemas.openxmlformats.org/drawingml/2006/spreadsheetDrawing" xmlns:a="http://schemas.openxmlformats.org/drawingml/2006/main">
  <xdr:twoCellAnchor>
    <xdr:from>
      <xdr:col>2</xdr:col>
      <xdr:colOff>238125</xdr:colOff>
      <xdr:row>20</xdr:row>
      <xdr:rowOff>95250</xdr:rowOff>
    </xdr:from>
    <xdr:to>
      <xdr:col>10</xdr:col>
      <xdr:colOff>85725</xdr:colOff>
      <xdr:row>42</xdr:row>
      <xdr:rowOff>38100</xdr:rowOff>
    </xdr:to>
    <xdr:pic>
      <xdr:nvPicPr>
        <xdr:cNvPr id="5381" name="Picture 2">
          <a:extLst>
            <a:ext uri="{FF2B5EF4-FFF2-40B4-BE49-F238E27FC236}">
              <a16:creationId xmlns:a16="http://schemas.microsoft.com/office/drawing/2014/main" id="{00000000-0008-0000-0400-000005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57325" y="3990975"/>
          <a:ext cx="4724400" cy="37052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285750</xdr:colOff>
      <xdr:row>46</xdr:row>
      <xdr:rowOff>85725</xdr:rowOff>
    </xdr:from>
    <xdr:to>
      <xdr:col>10</xdr:col>
      <xdr:colOff>228600</xdr:colOff>
      <xdr:row>70</xdr:row>
      <xdr:rowOff>47625</xdr:rowOff>
    </xdr:to>
    <xdr:pic>
      <xdr:nvPicPr>
        <xdr:cNvPr id="5382" name="Picture 3">
          <a:extLst>
            <a:ext uri="{FF2B5EF4-FFF2-40B4-BE49-F238E27FC236}">
              <a16:creationId xmlns:a16="http://schemas.microsoft.com/office/drawing/2014/main" id="{00000000-0008-0000-0400-00000615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504950" y="8429625"/>
          <a:ext cx="4819650" cy="384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304800</xdr:colOff>
      <xdr:row>70</xdr:row>
      <xdr:rowOff>152400</xdr:rowOff>
    </xdr:from>
    <xdr:to>
      <xdr:col>10</xdr:col>
      <xdr:colOff>247650</xdr:colOff>
      <xdr:row>92</xdr:row>
      <xdr:rowOff>9525</xdr:rowOff>
    </xdr:to>
    <xdr:pic>
      <xdr:nvPicPr>
        <xdr:cNvPr id="5383" name="Picture 4">
          <a:extLst>
            <a:ext uri="{FF2B5EF4-FFF2-40B4-BE49-F238E27FC236}">
              <a16:creationId xmlns:a16="http://schemas.microsoft.com/office/drawing/2014/main" id="{00000000-0008-0000-0400-00000715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1524000" y="12382500"/>
          <a:ext cx="4819650" cy="34194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6</xdr:col>
      <xdr:colOff>561975</xdr:colOff>
      <xdr:row>3</xdr:row>
      <xdr:rowOff>209550</xdr:rowOff>
    </xdr:from>
    <xdr:to>
      <xdr:col>7</xdr:col>
      <xdr:colOff>200025</xdr:colOff>
      <xdr:row>4</xdr:row>
      <xdr:rowOff>209550</xdr:rowOff>
    </xdr:to>
    <xdr:pic>
      <xdr:nvPicPr>
        <xdr:cNvPr id="5384" name="Picture 5" descr="Button image">
          <a:extLst>
            <a:ext uri="{FF2B5EF4-FFF2-40B4-BE49-F238E27FC236}">
              <a16:creationId xmlns:a16="http://schemas.microsoft.com/office/drawing/2014/main" id="{00000000-0008-0000-0400-000008150000}"/>
            </a:ext>
          </a:extLst>
        </xdr:cNvPr>
        <xdr:cNvPicPr>
          <a:picLocks noChangeAspect="1" noChangeArrowheads="1"/>
        </xdr:cNvPicPr>
      </xdr:nvPicPr>
      <xdr:blipFill>
        <a:blip xmlns:r="http://schemas.openxmlformats.org/officeDocument/2006/relationships" r:link="rId4">
          <a:extLst>
            <a:ext uri="{28A0092B-C50C-407E-A947-70E740481C1C}">
              <a14:useLocalDpi xmlns:a14="http://schemas.microsoft.com/office/drawing/2010/main" val="0"/>
            </a:ext>
          </a:extLst>
        </a:blip>
        <a:srcRect/>
        <a:stretch>
          <a:fillRect/>
        </a:stretch>
      </xdr:blipFill>
      <xdr:spPr bwMode="auto">
        <a:xfrm>
          <a:off x="4219575" y="695325"/>
          <a:ext cx="247650"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xdr:from>
      <xdr:col>2</xdr:col>
      <xdr:colOff>91440</xdr:colOff>
      <xdr:row>16</xdr:row>
      <xdr:rowOff>76200</xdr:rowOff>
    </xdr:from>
    <xdr:to>
      <xdr:col>3</xdr:col>
      <xdr:colOff>598170</xdr:colOff>
      <xdr:row>18</xdr:row>
      <xdr:rowOff>17145</xdr:rowOff>
    </xdr:to>
    <xdr:cxnSp macro="">
      <xdr:nvCxnSpPr>
        <xdr:cNvPr id="2" name="Straight Arrow Connector 1">
          <a:extLst>
            <a:ext uri="{FF2B5EF4-FFF2-40B4-BE49-F238E27FC236}">
              <a16:creationId xmlns:a16="http://schemas.microsoft.com/office/drawing/2014/main" id="{00000000-0008-0000-0500-000002000000}"/>
            </a:ext>
          </a:extLst>
        </xdr:cNvPr>
        <xdr:cNvCxnSpPr/>
      </xdr:nvCxnSpPr>
      <xdr:spPr>
        <a:xfrm flipH="1">
          <a:off x="4305300" y="3025140"/>
          <a:ext cx="1131570" cy="299085"/>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wsDr>
</file>

<file path=xl/drawings/drawing5.xml><?xml version="1.0" encoding="utf-8"?>
<xdr:wsDr xmlns:xdr="http://schemas.openxmlformats.org/drawingml/2006/spreadsheetDrawing" xmlns:a="http://schemas.openxmlformats.org/drawingml/2006/main">
  <xdr:twoCellAnchor>
    <xdr:from>
      <xdr:col>2</xdr:col>
      <xdr:colOff>219075</xdr:colOff>
      <xdr:row>15</xdr:row>
      <xdr:rowOff>182880</xdr:rowOff>
    </xdr:from>
    <xdr:to>
      <xdr:col>3</xdr:col>
      <xdr:colOff>571500</xdr:colOff>
      <xdr:row>16</xdr:row>
      <xdr:rowOff>114300</xdr:rowOff>
    </xdr:to>
    <xdr:cxnSp macro="">
      <xdr:nvCxnSpPr>
        <xdr:cNvPr id="2" name="Straight Arrow Connector 1">
          <a:extLst>
            <a:ext uri="{FF2B5EF4-FFF2-40B4-BE49-F238E27FC236}">
              <a16:creationId xmlns:a16="http://schemas.microsoft.com/office/drawing/2014/main" id="{00000000-0008-0000-0700-000002000000}"/>
            </a:ext>
          </a:extLst>
        </xdr:cNvPr>
        <xdr:cNvCxnSpPr/>
      </xdr:nvCxnSpPr>
      <xdr:spPr>
        <a:xfrm flipH="1">
          <a:off x="4314825" y="2973705"/>
          <a:ext cx="962025" cy="131445"/>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L:\Public%20Finance\Miscellaneous\Presentations\Levy%20Workshops\2024\PMA%20Levy%20Worksheet_Library%20Districts%202024.xlsx" TargetMode="External"/><Relationship Id="rId1" Type="http://schemas.openxmlformats.org/officeDocument/2006/relationships/externalLinkPath" Target="file:///L:\Public%20Finance\Miscellaneous\Presentations\Levy%20Workshops\2024\PMA%20Levy%20Worksheet_Library%20Districts%202024.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Disclaimer"/>
      <sheetName val="Instructions"/>
      <sheetName val="Input"/>
      <sheetName val="Calculations"/>
      <sheetName val="copyright_disclaimer"/>
      <sheetName val="Tax Calculator - Calculations"/>
      <sheetName val="Extension"/>
      <sheetName val="Tax Calculator - Extension"/>
      <sheetName val="Truth in Taxation"/>
      <sheetName val="InfoPage"/>
    </sheetNames>
    <sheetDataSet>
      <sheetData sheetId="0"/>
      <sheetData sheetId="1"/>
      <sheetData sheetId="2">
        <row r="9">
          <cell r="C9">
            <v>2024</v>
          </cell>
        </row>
      </sheetData>
      <sheetData sheetId="3"/>
      <sheetData sheetId="4"/>
      <sheetData sheetId="5"/>
      <sheetData sheetId="6"/>
      <sheetData sheetId="7"/>
      <sheetData sheetId="8"/>
      <sheetData sheetId="9"/>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1.vml"/><Relationship Id="rId7" Type="http://schemas.openxmlformats.org/officeDocument/2006/relationships/image" Target="../media/image2.emf"/><Relationship Id="rId2" Type="http://schemas.openxmlformats.org/officeDocument/2006/relationships/drawing" Target="../drawings/drawing2.xml"/><Relationship Id="rId1" Type="http://schemas.openxmlformats.org/officeDocument/2006/relationships/printerSettings" Target="../printerSettings/printerSettings1.bin"/><Relationship Id="rId6" Type="http://schemas.openxmlformats.org/officeDocument/2006/relationships/package" Target="../embeddings/Microsoft_Word_Document.docx"/><Relationship Id="rId5" Type="http://schemas.openxmlformats.org/officeDocument/2006/relationships/image" Target="../media/image1.emf"/><Relationship Id="rId4" Type="http://schemas.openxmlformats.org/officeDocument/2006/relationships/oleObject" Target="../embeddings/Microsoft_Word_97_-_2003_Document.doc"/></Relationships>
</file>

<file path=xl/worksheets/_rels/sheet3.xml.rels><?xml version="1.0" encoding="UTF-8" standalone="yes"?>
<Relationships xmlns="http://schemas.openxmlformats.org/package/2006/relationships"><Relationship Id="rId3" Type="http://schemas.openxmlformats.org/officeDocument/2006/relationships/printerSettings" Target="../printerSettings/printerSettings2.bin"/><Relationship Id="rId2" Type="http://schemas.openxmlformats.org/officeDocument/2006/relationships/hyperlink" Target="mailto:andrew.kim@ptma.com" TargetMode="External"/><Relationship Id="rId1" Type="http://schemas.openxmlformats.org/officeDocument/2006/relationships/hyperlink" Target="mailto:steve.adams@ptma.com" TargetMode="External"/></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6.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0">
    <tabColor rgb="FFFFFF99"/>
  </sheetPr>
  <dimension ref="A1"/>
  <sheetViews>
    <sheetView tabSelected="1" workbookViewId="0">
      <selection activeCell="J12" sqref="J12"/>
    </sheetView>
  </sheetViews>
  <sheetFormatPr defaultRowHeight="12.5" x14ac:dyDescent="0.25"/>
  <sheetData/>
  <sheetProtection algorithmName="SHA-512" hashValue="e2wlkFGQIVniULGAioJDCD4MP3NcvXniT32e30pnBhLlO2gCYgZXRyzed/Vr/HaEUnDppotfnmSnQkOjG5+IIw==" saltValue="KTBXQ4biCdQziEMq+K7OrQ==" spinCount="100000" sheet="1" objects="1" scenarios="1"/>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7">
    <tabColor rgb="FFFFFF99"/>
  </sheetPr>
  <dimension ref="A1:J2"/>
  <sheetViews>
    <sheetView showGridLines="0" zoomScaleNormal="100" workbookViewId="0">
      <selection activeCell="A62" sqref="A62:XFD66"/>
    </sheetView>
  </sheetViews>
  <sheetFormatPr defaultColWidth="0" defaultRowHeight="12.5" x14ac:dyDescent="0.25"/>
  <cols>
    <col min="1" max="9" width="11.90625" customWidth="1"/>
    <col min="10" max="10" width="11.90625" hidden="1" customWidth="1"/>
    <col min="11" max="16384" width="9.08984375" hidden="1"/>
  </cols>
  <sheetData>
    <row r="1" spans="1:3" ht="13" x14ac:dyDescent="0.3">
      <c r="A1" s="1" t="s">
        <v>26</v>
      </c>
      <c r="B1" s="48"/>
      <c r="C1" s="1"/>
    </row>
    <row r="2" spans="1:3" ht="13" x14ac:dyDescent="0.3">
      <c r="A2" s="1"/>
      <c r="B2" s="48"/>
      <c r="C2" s="1"/>
    </row>
  </sheetData>
  <sheetProtection algorithmName="SHA-512" hashValue="CC+7ZDTKL2mcwIDFi+hUw960zMSaAzKIJiA75CQDSp+mKCP/bHaW6W6Krys1Cp9OY6Ypvqx/RcQtZMfbUf4qng==" saltValue="3aET4AvPuRzUF94yrfvNiQ==" spinCount="100000" sheet="1" objects="1" scenarios="1"/>
  <phoneticPr fontId="3" type="noConversion"/>
  <pageMargins left="0.5" right="0.5" top="0.5" bottom="0.5" header="0.5" footer="0.5"/>
  <pageSetup orientation="portrait" r:id="rId1"/>
  <headerFooter alignWithMargins="0"/>
  <drawing r:id="rId2"/>
  <legacyDrawing r:id="rId3"/>
  <oleObjects>
    <mc:AlternateContent xmlns:mc="http://schemas.openxmlformats.org/markup-compatibility/2006">
      <mc:Choice Requires="x14">
        <oleObject progId="Word.Document.8" shapeId="3073" r:id="rId4">
          <objectPr defaultSize="0" autoPict="0" r:id="rId5">
            <anchor moveWithCells="1">
              <from>
                <xdr:col>0</xdr:col>
                <xdr:colOff>107950</xdr:colOff>
                <xdr:row>2</xdr:row>
                <xdr:rowOff>31750</xdr:rowOff>
              </from>
              <to>
                <xdr:col>8</xdr:col>
                <xdr:colOff>565150</xdr:colOff>
                <xdr:row>60</xdr:row>
                <xdr:rowOff>139700</xdr:rowOff>
              </to>
            </anchor>
          </objectPr>
        </oleObject>
      </mc:Choice>
      <mc:Fallback>
        <oleObject progId="Word.Document.8" shapeId="3073" r:id="rId4"/>
      </mc:Fallback>
    </mc:AlternateContent>
    <mc:AlternateContent xmlns:mc="http://schemas.openxmlformats.org/markup-compatibility/2006">
      <mc:Choice Requires="x14">
        <oleObject progId="Word.Document.12" shapeId="3075" r:id="rId6">
          <objectPr defaultSize="0" autoPict="0" r:id="rId7">
            <anchor moveWithCells="1">
              <from>
                <xdr:col>0</xdr:col>
                <xdr:colOff>114300</xdr:colOff>
                <xdr:row>62</xdr:row>
                <xdr:rowOff>69850</xdr:rowOff>
              </from>
              <to>
                <xdr:col>8</xdr:col>
                <xdr:colOff>533400</xdr:colOff>
                <xdr:row>106</xdr:row>
                <xdr:rowOff>31750</xdr:rowOff>
              </to>
            </anchor>
          </objectPr>
        </oleObject>
      </mc:Choice>
      <mc:Fallback>
        <oleObject progId="Word.Document.12" shapeId="3075" r:id="rId6"/>
      </mc:Fallback>
    </mc:AlternateContent>
  </oleObject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4">
    <tabColor rgb="FF92D050"/>
    <pageSetUpPr fitToPage="1"/>
  </sheetPr>
  <dimension ref="A1:AB83"/>
  <sheetViews>
    <sheetView showGridLines="0" zoomScaleNormal="100" workbookViewId="0">
      <selection activeCell="E1" sqref="E1"/>
    </sheetView>
  </sheetViews>
  <sheetFormatPr defaultColWidth="0" defaultRowHeight="13" zeroHeight="1" x14ac:dyDescent="0.3"/>
  <cols>
    <col min="1" max="1" width="19.54296875" style="1" customWidth="1"/>
    <col min="2" max="2" width="28.453125" style="13" customWidth="1"/>
    <col min="3" max="3" width="16.08984375" style="1" customWidth="1"/>
    <col min="4" max="4" width="18.36328125" style="1" customWidth="1"/>
    <col min="5" max="6" width="13.90625" style="14" customWidth="1"/>
    <col min="7" max="8" width="13.90625" style="1" customWidth="1"/>
    <col min="9" max="27" width="9.08984375" style="1" hidden="1" customWidth="1"/>
    <col min="28" max="28" width="9.08984375" style="12" hidden="1" customWidth="1"/>
    <col min="29" max="16384" width="9.08984375" style="1" hidden="1"/>
  </cols>
  <sheetData>
    <row r="1" spans="1:28" x14ac:dyDescent="0.3">
      <c r="A1" s="1" t="s">
        <v>97</v>
      </c>
      <c r="B1" s="48"/>
      <c r="E1" s="1"/>
      <c r="F1" s="1"/>
    </row>
    <row r="2" spans="1:28" x14ac:dyDescent="0.3">
      <c r="A2" s="1" t="s">
        <v>151</v>
      </c>
      <c r="B2" s="48"/>
      <c r="E2" s="1"/>
      <c r="F2" s="1"/>
    </row>
    <row r="3" spans="1:28" hidden="1" x14ac:dyDescent="0.3">
      <c r="A3" s="48" t="s">
        <v>152</v>
      </c>
      <c r="B3" s="48"/>
      <c r="E3" s="1"/>
      <c r="F3" s="1"/>
    </row>
    <row r="4" spans="1:28" x14ac:dyDescent="0.3">
      <c r="A4" s="48" t="s">
        <v>154</v>
      </c>
      <c r="B4" s="197" t="s">
        <v>179</v>
      </c>
      <c r="E4" s="1"/>
      <c r="F4" s="1"/>
    </row>
    <row r="5" spans="1:28" x14ac:dyDescent="0.3">
      <c r="A5" s="48" t="s">
        <v>153</v>
      </c>
      <c r="B5" s="197" t="s">
        <v>180</v>
      </c>
      <c r="E5" s="1"/>
      <c r="F5" s="1"/>
    </row>
    <row r="6" spans="1:28" x14ac:dyDescent="0.3">
      <c r="A6" s="1" t="s">
        <v>27</v>
      </c>
      <c r="B6" s="48"/>
      <c r="E6" s="1"/>
      <c r="F6" s="1"/>
    </row>
    <row r="7" spans="1:28" s="14" customFormat="1" ht="18" thickBot="1" x14ac:dyDescent="0.4">
      <c r="A7" s="70" t="s">
        <v>2</v>
      </c>
      <c r="B7" s="71"/>
      <c r="C7" s="70"/>
      <c r="D7" s="71"/>
      <c r="E7" s="71"/>
      <c r="F7" s="84" t="s">
        <v>32</v>
      </c>
      <c r="G7" s="71"/>
      <c r="H7" s="71"/>
      <c r="AB7" s="15" t="s">
        <v>8</v>
      </c>
    </row>
    <row r="8" spans="1:28" s="14" customFormat="1" ht="15.75" customHeight="1" x14ac:dyDescent="0.3">
      <c r="A8" s="71"/>
      <c r="B8" s="72"/>
      <c r="C8" s="71"/>
      <c r="D8" s="71"/>
      <c r="E8" s="83"/>
      <c r="F8" s="100" t="s">
        <v>30</v>
      </c>
      <c r="G8" s="82"/>
      <c r="H8" s="71"/>
      <c r="AB8" s="15" t="s">
        <v>9</v>
      </c>
    </row>
    <row r="9" spans="1:28" ht="15" x14ac:dyDescent="0.3">
      <c r="A9" s="73"/>
      <c r="B9" s="73" t="s">
        <v>49</v>
      </c>
      <c r="C9" s="229">
        <v>2025</v>
      </c>
      <c r="D9" s="74"/>
      <c r="E9" s="68"/>
      <c r="F9" s="98" t="s">
        <v>31</v>
      </c>
      <c r="G9" s="69"/>
      <c r="H9" s="71"/>
    </row>
    <row r="10" spans="1:28" s="14" customFormat="1" ht="15.75" customHeight="1" thickBot="1" x14ac:dyDescent="0.35">
      <c r="A10" s="72"/>
      <c r="B10" s="72"/>
      <c r="C10" s="71"/>
      <c r="D10" s="71"/>
      <c r="E10" s="91"/>
      <c r="F10" s="99" t="s">
        <v>35</v>
      </c>
      <c r="G10" s="92"/>
      <c r="H10" s="71"/>
      <c r="AB10" s="15"/>
    </row>
    <row r="11" spans="1:28" ht="15" x14ac:dyDescent="0.3">
      <c r="A11" s="73"/>
      <c r="B11" s="73" t="s">
        <v>39</v>
      </c>
      <c r="C11" s="65"/>
      <c r="D11" s="74" t="s">
        <v>60</v>
      </c>
      <c r="E11" s="71"/>
      <c r="F11" s="71"/>
      <c r="G11" s="71"/>
      <c r="H11" s="71"/>
    </row>
    <row r="12" spans="1:28" ht="15" hidden="1" x14ac:dyDescent="0.3">
      <c r="A12" s="73"/>
      <c r="B12" s="73" t="s">
        <v>38</v>
      </c>
      <c r="C12" s="65"/>
      <c r="D12" s="74" t="s">
        <v>61</v>
      </c>
      <c r="E12" s="71"/>
      <c r="F12" s="71"/>
      <c r="G12" s="71"/>
      <c r="H12" s="71"/>
    </row>
    <row r="13" spans="1:28" ht="15" x14ac:dyDescent="0.3">
      <c r="A13" s="73"/>
      <c r="B13" s="73" t="s">
        <v>58</v>
      </c>
      <c r="C13" s="65"/>
      <c r="D13" s="74" t="s">
        <v>80</v>
      </c>
      <c r="E13" s="71"/>
      <c r="F13" s="71"/>
      <c r="G13" s="71"/>
      <c r="H13" s="71"/>
    </row>
    <row r="14" spans="1:28" ht="15" x14ac:dyDescent="0.3">
      <c r="A14" s="73"/>
      <c r="B14" s="73" t="s">
        <v>40</v>
      </c>
      <c r="C14" s="65"/>
      <c r="D14" s="74" t="s">
        <v>77</v>
      </c>
      <c r="E14" s="71"/>
      <c r="F14" s="71"/>
      <c r="G14" s="71"/>
      <c r="H14" s="71"/>
    </row>
    <row r="15" spans="1:28" ht="15" x14ac:dyDescent="0.3">
      <c r="A15" s="73"/>
      <c r="B15" s="73" t="s">
        <v>41</v>
      </c>
      <c r="C15" s="232"/>
      <c r="D15" s="74" t="s">
        <v>79</v>
      </c>
      <c r="E15" s="71"/>
      <c r="F15" s="71"/>
      <c r="G15" s="71"/>
      <c r="H15" s="71"/>
    </row>
    <row r="16" spans="1:28" ht="15" x14ac:dyDescent="0.3">
      <c r="A16" s="73"/>
      <c r="B16" s="73" t="s">
        <v>42</v>
      </c>
      <c r="C16" s="65"/>
      <c r="D16" s="74" t="s">
        <v>78</v>
      </c>
      <c r="E16" s="71"/>
      <c r="F16" s="71"/>
      <c r="G16" s="71"/>
      <c r="H16" s="71"/>
    </row>
    <row r="17" spans="1:28" s="14" customFormat="1" x14ac:dyDescent="0.3">
      <c r="A17" s="72"/>
      <c r="B17" s="72"/>
      <c r="C17" s="74" t="s">
        <v>3</v>
      </c>
      <c r="D17" s="71"/>
      <c r="E17" s="71"/>
      <c r="F17" s="71"/>
      <c r="G17" s="71"/>
      <c r="H17" s="71"/>
      <c r="AB17" s="15"/>
    </row>
    <row r="18" spans="1:28" s="14" customFormat="1" ht="13.5" thickBot="1" x14ac:dyDescent="0.35">
      <c r="A18" s="72"/>
      <c r="B18" s="72"/>
      <c r="C18" s="71"/>
      <c r="D18" s="71"/>
      <c r="E18" s="71"/>
      <c r="F18" s="71"/>
      <c r="G18" s="71"/>
      <c r="H18" s="71"/>
      <c r="AB18" s="15"/>
    </row>
    <row r="19" spans="1:28" ht="15.75" customHeight="1" x14ac:dyDescent="0.3">
      <c r="A19" s="75"/>
      <c r="B19" s="73" t="s">
        <v>43</v>
      </c>
      <c r="C19" s="101" t="s">
        <v>8</v>
      </c>
      <c r="D19" s="74" t="s">
        <v>62</v>
      </c>
      <c r="E19" s="240" t="s">
        <v>104</v>
      </c>
      <c r="F19" s="241"/>
      <c r="G19" s="242"/>
      <c r="H19" s="71"/>
    </row>
    <row r="20" spans="1:28" ht="8" customHeight="1" x14ac:dyDescent="0.3">
      <c r="A20" s="75"/>
      <c r="B20" s="73"/>
      <c r="C20" s="75"/>
      <c r="D20" s="75"/>
      <c r="E20" s="243"/>
      <c r="F20" s="244"/>
      <c r="G20" s="245"/>
      <c r="H20" s="71"/>
    </row>
    <row r="21" spans="1:28" s="14" customFormat="1" ht="15" hidden="1" x14ac:dyDescent="0.3">
      <c r="A21" s="72"/>
      <c r="B21" s="73" t="s">
        <v>59</v>
      </c>
      <c r="C21" s="101" t="s">
        <v>9</v>
      </c>
      <c r="D21" s="74" t="s">
        <v>62</v>
      </c>
      <c r="E21" s="243"/>
      <c r="F21" s="244"/>
      <c r="G21" s="245"/>
      <c r="H21" s="71"/>
      <c r="AB21" s="15"/>
    </row>
    <row r="22" spans="1:28" s="14" customFormat="1" ht="15.5" thickBot="1" x14ac:dyDescent="0.35">
      <c r="A22" s="72"/>
      <c r="B22" s="73"/>
      <c r="C22" s="74"/>
      <c r="D22" s="74"/>
      <c r="E22" s="246"/>
      <c r="F22" s="247"/>
      <c r="G22" s="248"/>
      <c r="H22" s="71"/>
      <c r="AB22" s="15"/>
    </row>
    <row r="23" spans="1:28" s="14" customFormat="1" x14ac:dyDescent="0.3">
      <c r="A23" s="72"/>
      <c r="B23" s="72"/>
      <c r="C23" s="71"/>
      <c r="D23" s="71"/>
      <c r="E23" s="71"/>
      <c r="F23" s="71"/>
      <c r="G23" s="71"/>
      <c r="H23" s="71"/>
      <c r="AB23" s="15"/>
    </row>
    <row r="24" spans="1:28" ht="15.65" hidden="1" customHeight="1" x14ac:dyDescent="0.3">
      <c r="A24" s="73"/>
      <c r="B24" s="73" t="s">
        <v>44</v>
      </c>
      <c r="C24" s="65" t="s">
        <v>10</v>
      </c>
      <c r="D24" s="74"/>
      <c r="E24" s="249"/>
      <c r="F24" s="258"/>
      <c r="G24" s="71"/>
      <c r="H24" s="71"/>
    </row>
    <row r="25" spans="1:28" ht="15.5" hidden="1" thickBot="1" x14ac:dyDescent="0.35">
      <c r="A25" s="73"/>
      <c r="B25" s="73" t="s">
        <v>45</v>
      </c>
      <c r="C25" s="65"/>
      <c r="D25" s="74"/>
      <c r="E25" s="259"/>
      <c r="F25" s="260"/>
      <c r="G25" s="71"/>
      <c r="H25" s="71"/>
    </row>
    <row r="26" spans="1:28" s="14" customFormat="1" hidden="1" x14ac:dyDescent="0.3">
      <c r="A26" s="72"/>
      <c r="B26" s="72"/>
      <c r="C26" s="74" t="s">
        <v>4</v>
      </c>
      <c r="D26" s="71"/>
      <c r="E26" s="71"/>
      <c r="F26" s="71"/>
      <c r="G26" s="71"/>
      <c r="H26" s="71"/>
      <c r="AB26" s="15"/>
    </row>
    <row r="27" spans="1:28" s="14" customFormat="1" hidden="1" x14ac:dyDescent="0.3">
      <c r="A27" s="72"/>
      <c r="B27" s="72"/>
      <c r="C27" s="71"/>
      <c r="D27" s="71"/>
      <c r="E27" s="71"/>
      <c r="F27" s="71"/>
      <c r="G27" s="71"/>
      <c r="H27" s="71"/>
      <c r="AB27" s="15"/>
    </row>
    <row r="28" spans="1:28" s="14" customFormat="1" hidden="1" x14ac:dyDescent="0.3">
      <c r="A28" s="72"/>
      <c r="B28" s="72"/>
      <c r="C28" s="71"/>
      <c r="D28" s="71"/>
      <c r="E28" s="71"/>
      <c r="F28" s="71"/>
      <c r="G28" s="71"/>
      <c r="H28" s="71"/>
      <c r="AB28" s="15"/>
    </row>
    <row r="29" spans="1:28" ht="15" x14ac:dyDescent="0.3">
      <c r="A29" s="73"/>
      <c r="B29" s="73" t="s">
        <v>102</v>
      </c>
      <c r="C29" s="89">
        <v>2.9000000000000001E-2</v>
      </c>
      <c r="D29" s="76" t="str">
        <f>" Lesser of 5% or CPI for Year Ending "&amp;C9-1&amp;", Applies to the "&amp;C9&amp;" Levy"</f>
        <v xml:space="preserve"> Lesser of 5% or CPI for Year Ending 2024, Applies to the 2025 Levy</v>
      </c>
      <c r="E29" s="71"/>
      <c r="F29" s="71"/>
      <c r="G29" s="71"/>
      <c r="H29" s="71"/>
    </row>
    <row r="30" spans="1:28" ht="12.75" customHeight="1" x14ac:dyDescent="0.3">
      <c r="A30" s="73"/>
      <c r="B30" s="73"/>
      <c r="C30" s="71"/>
      <c r="D30" s="76"/>
      <c r="E30" s="71"/>
      <c r="F30" s="71"/>
      <c r="G30" s="71"/>
      <c r="H30" s="71"/>
    </row>
    <row r="31" spans="1:28" ht="15" x14ac:dyDescent="0.3">
      <c r="A31" s="73"/>
      <c r="B31" s="73" t="str">
        <f>"Actual Rate Setting EAV for "&amp;C9-1&amp;" "</f>
        <v xml:space="preserve">Actual Rate Setting EAV for 2024 </v>
      </c>
      <c r="C31" s="55"/>
      <c r="D31" s="74" t="str">
        <f>" Enter Actual Rate Setting EAV for "&amp;C9-1&amp;""</f>
        <v xml:space="preserve"> Enter Actual Rate Setting EAV for 2024</v>
      </c>
      <c r="E31" s="71"/>
      <c r="F31" s="71"/>
      <c r="G31" s="71"/>
      <c r="H31" s="71"/>
    </row>
    <row r="32" spans="1:28" x14ac:dyDescent="0.3">
      <c r="A32" s="71"/>
      <c r="B32" s="72"/>
      <c r="C32" s="71"/>
      <c r="D32" s="71"/>
      <c r="E32" s="71"/>
      <c r="F32" s="71"/>
      <c r="G32" s="71"/>
      <c r="H32" s="71"/>
    </row>
    <row r="33" spans="1:8" ht="15" x14ac:dyDescent="0.3">
      <c r="A33" s="71"/>
      <c r="B33" s="73" t="str">
        <f>"Preliminary Figure Available for "&amp;C9&amp;" EAV? "</f>
        <v xml:space="preserve">Preliminary Figure Available for 2025 EAV? </v>
      </c>
      <c r="C33" s="101" t="s">
        <v>9</v>
      </c>
      <c r="D33" s="74" t="s">
        <v>155</v>
      </c>
      <c r="E33" s="71"/>
      <c r="F33" s="71"/>
      <c r="G33" s="71"/>
      <c r="H33" s="71"/>
    </row>
    <row r="34" spans="1:8" x14ac:dyDescent="0.3">
      <c r="A34" s="71"/>
      <c r="B34" s="72"/>
      <c r="C34" s="71"/>
      <c r="D34" s="71"/>
      <c r="E34" s="71"/>
      <c r="F34" s="71"/>
      <c r="G34" s="71"/>
      <c r="H34" s="71"/>
    </row>
    <row r="35" spans="1:8" ht="15" x14ac:dyDescent="0.3">
      <c r="A35" s="73"/>
      <c r="B35" s="73" t="str">
        <f>"Estimated Existing EAV % Change for "&amp;C9&amp;" "</f>
        <v xml:space="preserve">Estimated Existing EAV % Change for 2025 </v>
      </c>
      <c r="C35" s="102"/>
      <c r="D35" s="74" t="str">
        <f>IF(C19="Yes","Enter Reassessment Percentage Before New Property","Enter Reassessment Percentage")</f>
        <v>Enter Reassessment Percentage Before New Property</v>
      </c>
      <c r="E35" s="71"/>
      <c r="F35" s="71"/>
      <c r="G35" s="71"/>
      <c r="H35" s="71"/>
    </row>
    <row r="36" spans="1:8" hidden="1" x14ac:dyDescent="0.3">
      <c r="A36" s="72"/>
      <c r="B36" s="72"/>
      <c r="C36" s="71"/>
      <c r="D36" s="71"/>
      <c r="E36" s="71"/>
      <c r="F36" s="71"/>
      <c r="G36" s="71"/>
      <c r="H36" s="71"/>
    </row>
    <row r="37" spans="1:8" ht="15" x14ac:dyDescent="0.3">
      <c r="A37" s="73"/>
      <c r="B37" s="73" t="str">
        <f>"Estimated or Preliminary EAV for "&amp;C9&amp;" "</f>
        <v xml:space="preserve">Estimated or Preliminary EAV for 2025 </v>
      </c>
      <c r="C37" s="198"/>
      <c r="D37" s="74"/>
      <c r="E37" s="71"/>
      <c r="F37" s="71"/>
      <c r="G37" s="71"/>
      <c r="H37" s="71"/>
    </row>
    <row r="38" spans="1:8" x14ac:dyDescent="0.3">
      <c r="A38" s="72"/>
      <c r="B38" s="72"/>
      <c r="C38" s="71"/>
      <c r="D38" s="71"/>
      <c r="E38" s="71"/>
      <c r="F38" s="71"/>
      <c r="G38" s="261" t="s">
        <v>156</v>
      </c>
      <c r="H38" s="261"/>
    </row>
    <row r="39" spans="1:8" ht="15" x14ac:dyDescent="0.3">
      <c r="A39" s="73"/>
      <c r="B39" s="73" t="str">
        <f>"Estimated New Property for "&amp;C9&amp;" "</f>
        <v xml:space="preserve">Estimated New Property for 2025 </v>
      </c>
      <c r="C39" s="55"/>
      <c r="D39" s="74" t="s">
        <v>63</v>
      </c>
      <c r="E39" s="71"/>
      <c r="F39" s="71"/>
      <c r="G39" s="262" t="s">
        <v>157</v>
      </c>
      <c r="H39" s="262"/>
    </row>
    <row r="40" spans="1:8" ht="12.75" customHeight="1" x14ac:dyDescent="0.3">
      <c r="A40" s="73"/>
      <c r="B40" s="73"/>
      <c r="C40" s="71"/>
      <c r="D40" s="74"/>
      <c r="E40" s="71"/>
      <c r="F40" s="71"/>
      <c r="G40" s="263" t="s">
        <v>158</v>
      </c>
      <c r="H40" s="263"/>
    </row>
    <row r="41" spans="1:8" ht="15" x14ac:dyDescent="0.3">
      <c r="A41" s="73"/>
      <c r="B41" s="73" t="str">
        <f>"Estimated Total EAV for "&amp;C9&amp;" "</f>
        <v xml:space="preserve">Estimated Total EAV for 2025 </v>
      </c>
      <c r="C41" s="90">
        <f>IF($C$19="Yes",C31*(1+C35)+C39,IF($C$33="No",C31*(1+C35),C37))</f>
        <v>0</v>
      </c>
      <c r="D41" s="74" t="s">
        <v>36</v>
      </c>
      <c r="E41" s="71"/>
      <c r="F41" s="71"/>
      <c r="G41" s="263" t="s">
        <v>159</v>
      </c>
      <c r="H41" s="263"/>
    </row>
    <row r="42" spans="1:8" ht="15" x14ac:dyDescent="0.3">
      <c r="A42" s="73"/>
      <c r="B42" s="73" t="s">
        <v>47</v>
      </c>
      <c r="C42" s="88" t="e">
        <f>C41/C31-1</f>
        <v>#DIV/0!</v>
      </c>
      <c r="D42" s="74" t="s">
        <v>36</v>
      </c>
      <c r="E42" s="71"/>
      <c r="F42" s="71"/>
      <c r="G42" s="263" t="s">
        <v>177</v>
      </c>
      <c r="H42" s="263"/>
    </row>
    <row r="43" spans="1:8" ht="13.5" thickBot="1" x14ac:dyDescent="0.35">
      <c r="A43" s="71"/>
      <c r="B43" s="71"/>
      <c r="C43" s="71"/>
      <c r="D43" s="71"/>
      <c r="E43" s="71"/>
      <c r="F43" s="71"/>
      <c r="G43" s="71"/>
      <c r="H43" s="71"/>
    </row>
    <row r="44" spans="1:8" ht="15" hidden="1" x14ac:dyDescent="0.3">
      <c r="A44" s="73"/>
      <c r="B44" s="77" t="s">
        <v>48</v>
      </c>
      <c r="C44" s="65"/>
      <c r="D44" s="74" t="s">
        <v>64</v>
      </c>
      <c r="E44" s="71"/>
      <c r="F44" s="71"/>
      <c r="G44" s="71"/>
      <c r="H44" s="71"/>
    </row>
    <row r="45" spans="1:8" ht="13.5" hidden="1" thickBot="1" x14ac:dyDescent="0.35">
      <c r="A45" s="72"/>
      <c r="B45" s="72"/>
      <c r="C45" s="71"/>
      <c r="D45" s="71"/>
      <c r="E45" s="71"/>
      <c r="F45" s="71"/>
      <c r="G45" s="71"/>
      <c r="H45" s="71"/>
    </row>
    <row r="46" spans="1:8" x14ac:dyDescent="0.3">
      <c r="A46" s="72"/>
      <c r="B46" s="72"/>
      <c r="C46" s="72"/>
      <c r="D46" s="71"/>
      <c r="E46" s="249" t="s">
        <v>103</v>
      </c>
      <c r="F46" s="250"/>
      <c r="G46" s="251"/>
      <c r="H46" s="71"/>
    </row>
    <row r="47" spans="1:8" x14ac:dyDescent="0.3">
      <c r="A47" s="72"/>
      <c r="B47" s="72"/>
      <c r="C47" s="72"/>
      <c r="D47" s="71"/>
      <c r="E47" s="252"/>
      <c r="F47" s="253"/>
      <c r="G47" s="254"/>
      <c r="H47" s="71"/>
    </row>
    <row r="48" spans="1:8" ht="13.5" thickBot="1" x14ac:dyDescent="0.35">
      <c r="A48" s="72"/>
      <c r="B48" s="72"/>
      <c r="C48" s="72"/>
      <c r="D48" s="71"/>
      <c r="E48" s="255"/>
      <c r="F48" s="256"/>
      <c r="G48" s="257"/>
      <c r="H48" s="71"/>
    </row>
    <row r="49" spans="1:8" x14ac:dyDescent="0.3">
      <c r="A49" s="72"/>
      <c r="B49" s="72"/>
      <c r="C49" s="72"/>
      <c r="D49" s="71"/>
      <c r="E49" s="129"/>
      <c r="F49" s="129"/>
      <c r="G49" s="129"/>
      <c r="H49" s="71"/>
    </row>
    <row r="50" spans="1:8" ht="39" x14ac:dyDescent="0.3">
      <c r="A50" s="72"/>
      <c r="B50" s="72"/>
      <c r="C50" s="97" t="s">
        <v>81</v>
      </c>
      <c r="D50" s="97" t="str">
        <f>"Total "&amp;C9-1&amp;" Extension for all Counties"</f>
        <v>Total 2024 Extension for all Counties</v>
      </c>
      <c r="E50" s="97" t="str">
        <f>"Input "&amp;C9-1&amp;" "&amp;C13&amp;" County Extension"</f>
        <v>Input 2024  County Extension</v>
      </c>
      <c r="F50" s="97" t="str">
        <f>IF(C14="","","Input "&amp;C9-1&amp;" "&amp;C14&amp;" County Extension:")</f>
        <v/>
      </c>
      <c r="G50" s="97" t="str">
        <f>IF(C15="","","Input "&amp;C9-1&amp;" "&amp;C15&amp;" County Extension:")</f>
        <v/>
      </c>
      <c r="H50" s="97" t="str">
        <f>IF(C16="","","Input "&amp;C9-1&amp;" "&amp;C16&amp;" County Extension:")</f>
        <v/>
      </c>
    </row>
    <row r="51" spans="1:8" ht="15" x14ac:dyDescent="0.3">
      <c r="A51" s="103" t="str">
        <f>IF($C$19="Yes","N/A"," ")</f>
        <v>N/A</v>
      </c>
      <c r="B51" s="73" t="s">
        <v>136</v>
      </c>
      <c r="C51" s="237"/>
      <c r="D51" s="59">
        <f>SUM(E51:H51)</f>
        <v>0</v>
      </c>
      <c r="E51" s="175"/>
      <c r="F51" s="67"/>
      <c r="G51" s="67"/>
      <c r="H51" s="67"/>
    </row>
    <row r="52" spans="1:8" ht="15" x14ac:dyDescent="0.3">
      <c r="A52" s="73"/>
      <c r="B52" s="73" t="s">
        <v>137</v>
      </c>
      <c r="C52" s="237"/>
      <c r="D52" s="59">
        <f t="shared" ref="D52:D67" si="0">SUM(E52:H52)</f>
        <v>0</v>
      </c>
      <c r="E52" s="175"/>
      <c r="F52" s="67"/>
      <c r="G52" s="67"/>
      <c r="H52" s="67"/>
    </row>
    <row r="53" spans="1:8" ht="15" x14ac:dyDescent="0.3">
      <c r="A53" s="103" t="str">
        <f>IF($C$19="Yes","N/A"," ")</f>
        <v>N/A</v>
      </c>
      <c r="B53" s="73" t="s">
        <v>138</v>
      </c>
      <c r="C53" s="237"/>
      <c r="D53" s="59">
        <f t="shared" si="0"/>
        <v>0</v>
      </c>
      <c r="E53" s="175"/>
      <c r="F53" s="67"/>
      <c r="G53" s="67"/>
      <c r="H53" s="67"/>
    </row>
    <row r="54" spans="1:8" ht="15" x14ac:dyDescent="0.3">
      <c r="A54" s="73"/>
      <c r="B54" s="73" t="s">
        <v>139</v>
      </c>
      <c r="C54" s="237"/>
      <c r="D54" s="59">
        <f t="shared" si="0"/>
        <v>0</v>
      </c>
      <c r="E54" s="175"/>
      <c r="F54" s="67"/>
      <c r="G54" s="67"/>
      <c r="H54" s="67"/>
    </row>
    <row r="55" spans="1:8" ht="15" x14ac:dyDescent="0.3">
      <c r="A55" s="73"/>
      <c r="B55" s="73" t="s">
        <v>50</v>
      </c>
      <c r="C55" s="127"/>
      <c r="D55" s="59">
        <f t="shared" si="0"/>
        <v>0</v>
      </c>
      <c r="E55" s="175"/>
      <c r="F55" s="67"/>
      <c r="G55" s="67"/>
      <c r="H55" s="67"/>
    </row>
    <row r="56" spans="1:8" ht="15" x14ac:dyDescent="0.3">
      <c r="A56" s="73"/>
      <c r="B56" s="73" t="s">
        <v>140</v>
      </c>
      <c r="C56" s="127"/>
      <c r="D56" s="59">
        <f t="shared" si="0"/>
        <v>0</v>
      </c>
      <c r="E56" s="175"/>
      <c r="F56" s="67"/>
      <c r="G56" s="67"/>
      <c r="H56" s="67"/>
    </row>
    <row r="57" spans="1:8" ht="15" x14ac:dyDescent="0.3">
      <c r="A57" s="73"/>
      <c r="B57" s="73" t="s">
        <v>141</v>
      </c>
      <c r="C57" s="127"/>
      <c r="D57" s="59">
        <f t="shared" si="0"/>
        <v>0</v>
      </c>
      <c r="E57" s="175"/>
      <c r="F57" s="67"/>
      <c r="G57" s="67"/>
      <c r="H57" s="67"/>
    </row>
    <row r="58" spans="1:8" ht="15" x14ac:dyDescent="0.3">
      <c r="A58" s="73"/>
      <c r="B58" s="73" t="s">
        <v>51</v>
      </c>
      <c r="C58" s="127"/>
      <c r="D58" s="59">
        <f t="shared" si="0"/>
        <v>0</v>
      </c>
      <c r="E58" s="175"/>
      <c r="F58" s="67"/>
      <c r="G58" s="67"/>
      <c r="H58" s="67"/>
    </row>
    <row r="59" spans="1:8" ht="15" x14ac:dyDescent="0.3">
      <c r="A59" s="73"/>
      <c r="B59" s="73" t="s">
        <v>142</v>
      </c>
      <c r="C59" s="237"/>
      <c r="D59" s="59">
        <f t="shared" si="0"/>
        <v>0</v>
      </c>
      <c r="E59" s="175"/>
      <c r="F59" s="67"/>
      <c r="G59" s="67"/>
      <c r="H59" s="67"/>
    </row>
    <row r="60" spans="1:8" ht="15" x14ac:dyDescent="0.3">
      <c r="A60" s="73"/>
      <c r="B60" s="73" t="s">
        <v>144</v>
      </c>
      <c r="C60" s="127"/>
      <c r="D60" s="59">
        <f t="shared" si="0"/>
        <v>0</v>
      </c>
      <c r="E60" s="175"/>
      <c r="F60" s="67"/>
      <c r="G60" s="67"/>
      <c r="H60" s="67"/>
    </row>
    <row r="61" spans="1:8" ht="15" x14ac:dyDescent="0.3">
      <c r="A61" s="73"/>
      <c r="B61" s="73" t="s">
        <v>143</v>
      </c>
      <c r="C61" s="237"/>
      <c r="D61" s="59">
        <f t="shared" si="0"/>
        <v>0</v>
      </c>
      <c r="E61" s="175"/>
      <c r="F61" s="67"/>
      <c r="G61" s="67"/>
      <c r="H61" s="67"/>
    </row>
    <row r="62" spans="1:8" ht="15" x14ac:dyDescent="0.3">
      <c r="A62" s="73"/>
      <c r="B62" s="73" t="s">
        <v>145</v>
      </c>
      <c r="C62" s="237"/>
      <c r="D62" s="59">
        <f t="shared" si="0"/>
        <v>0</v>
      </c>
      <c r="E62" s="175"/>
      <c r="F62" s="67"/>
      <c r="G62" s="67"/>
      <c r="H62" s="67"/>
    </row>
    <row r="63" spans="1:8" ht="15" x14ac:dyDescent="0.3">
      <c r="A63" s="73"/>
      <c r="B63" s="73" t="s">
        <v>109</v>
      </c>
      <c r="C63" s="237"/>
      <c r="D63" s="59">
        <f t="shared" si="0"/>
        <v>0</v>
      </c>
      <c r="E63" s="175"/>
      <c r="F63" s="67"/>
      <c r="G63" s="67"/>
      <c r="H63" s="67"/>
    </row>
    <row r="64" spans="1:8" ht="15" x14ac:dyDescent="0.3">
      <c r="A64" s="73"/>
      <c r="B64" s="73" t="s">
        <v>175</v>
      </c>
      <c r="C64" s="237"/>
      <c r="D64" s="59">
        <f t="shared" si="0"/>
        <v>0</v>
      </c>
      <c r="E64" s="175"/>
      <c r="F64" s="67"/>
      <c r="G64" s="67"/>
      <c r="H64" s="67"/>
    </row>
    <row r="65" spans="1:8" ht="15" x14ac:dyDescent="0.3">
      <c r="A65" s="77" t="s">
        <v>52</v>
      </c>
      <c r="B65" s="66" t="s">
        <v>147</v>
      </c>
      <c r="C65" s="237"/>
      <c r="D65" s="59">
        <f t="shared" si="0"/>
        <v>0</v>
      </c>
      <c r="E65" s="175"/>
      <c r="F65" s="67"/>
      <c r="G65" s="67"/>
      <c r="H65" s="67"/>
    </row>
    <row r="66" spans="1:8" ht="15" x14ac:dyDescent="0.3">
      <c r="A66" s="77" t="s">
        <v>52</v>
      </c>
      <c r="B66" s="66" t="s">
        <v>146</v>
      </c>
      <c r="C66" s="237"/>
      <c r="D66" s="59">
        <f t="shared" si="0"/>
        <v>0</v>
      </c>
      <c r="E66" s="175"/>
      <c r="F66" s="67"/>
      <c r="G66" s="67"/>
      <c r="H66" s="67"/>
    </row>
    <row r="67" spans="1:8" ht="15" x14ac:dyDescent="0.3">
      <c r="A67" s="77" t="s">
        <v>52</v>
      </c>
      <c r="B67" s="66" t="s">
        <v>148</v>
      </c>
      <c r="C67" s="237"/>
      <c r="D67" s="59">
        <f t="shared" si="0"/>
        <v>0</v>
      </c>
      <c r="E67" s="175"/>
      <c r="F67" s="67"/>
      <c r="G67" s="67"/>
      <c r="H67" s="67"/>
    </row>
    <row r="68" spans="1:8" ht="15" x14ac:dyDescent="0.3">
      <c r="A68" s="73"/>
      <c r="B68" s="78"/>
      <c r="C68" s="73"/>
      <c r="D68" s="79"/>
      <c r="E68" s="72"/>
      <c r="F68" s="72"/>
      <c r="G68" s="72"/>
      <c r="H68" s="72"/>
    </row>
    <row r="69" spans="1:8" ht="15" x14ac:dyDescent="0.3">
      <c r="A69" s="71"/>
      <c r="B69" s="71"/>
      <c r="C69" s="73" t="str">
        <f>IF(C19="Yes","Total Capped Extension for "&amp;C9-1&amp;" ","Total Aggregate Extension for "&amp;C9-1&amp;" ")</f>
        <v xml:space="preserve">Total Capped Extension for 2024 </v>
      </c>
      <c r="D69" s="128">
        <f>SUM(D51:D67)</f>
        <v>0</v>
      </c>
      <c r="E69" s="128">
        <f>SUM(E51:E67)</f>
        <v>0</v>
      </c>
      <c r="F69" s="233" t="str">
        <f>IF(F51&gt;0,SUM(F51:F67),"")</f>
        <v/>
      </c>
      <c r="G69" s="233" t="str">
        <f>IF(G51&gt;0,SUM(G51:G67),"")</f>
        <v/>
      </c>
      <c r="H69" s="233" t="str">
        <f>IF(H51&gt;0,SUM(H51:H67),"")</f>
        <v/>
      </c>
    </row>
    <row r="70" spans="1:8" x14ac:dyDescent="0.3">
      <c r="A70" s="71"/>
      <c r="B70" s="71"/>
      <c r="C70" s="71"/>
      <c r="D70" s="71"/>
      <c r="E70" s="71"/>
      <c r="F70" s="71"/>
      <c r="G70" s="71"/>
      <c r="H70" s="71"/>
    </row>
    <row r="71" spans="1:8" ht="15" x14ac:dyDescent="0.3">
      <c r="A71" s="71"/>
      <c r="B71" s="73" t="s">
        <v>98</v>
      </c>
      <c r="C71" s="173">
        <v>0.04</v>
      </c>
      <c r="D71" s="128">
        <f t="shared" ref="D71:D75" si="1">SUM(E71:H71)</f>
        <v>0</v>
      </c>
      <c r="E71" s="175"/>
      <c r="F71" s="67"/>
      <c r="G71" s="67"/>
      <c r="H71" s="67"/>
    </row>
    <row r="72" spans="1:8" ht="15" hidden="1" x14ac:dyDescent="0.3">
      <c r="A72" s="71"/>
      <c r="B72" s="73" t="s">
        <v>109</v>
      </c>
      <c r="C72" s="174"/>
      <c r="D72" s="128">
        <f t="shared" si="1"/>
        <v>0</v>
      </c>
      <c r="E72" s="182"/>
      <c r="F72" s="183"/>
      <c r="G72" s="183"/>
      <c r="H72" s="183"/>
    </row>
    <row r="73" spans="1:8" ht="15" hidden="1" x14ac:dyDescent="0.3">
      <c r="A73" s="71"/>
      <c r="B73" s="73" t="s">
        <v>149</v>
      </c>
      <c r="C73" s="173">
        <v>2.5000000000000001E-2</v>
      </c>
      <c r="D73" s="128">
        <f t="shared" si="1"/>
        <v>0</v>
      </c>
      <c r="E73" s="67"/>
      <c r="F73" s="67"/>
      <c r="G73" s="67"/>
      <c r="H73" s="67"/>
    </row>
    <row r="74" spans="1:8" ht="15" x14ac:dyDescent="0.3">
      <c r="A74" s="71"/>
      <c r="B74" s="71"/>
      <c r="C74" s="73"/>
      <c r="D74" s="71"/>
      <c r="E74" s="71"/>
      <c r="F74" s="71"/>
      <c r="G74" s="71"/>
      <c r="H74" s="71"/>
    </row>
    <row r="75" spans="1:8" ht="15" x14ac:dyDescent="0.3">
      <c r="A75" s="71"/>
      <c r="B75" s="71"/>
      <c r="C75" s="73" t="str">
        <f>"Bond and Interest Extension for "&amp;C9-1&amp;" "</f>
        <v xml:space="preserve">Bond and Interest Extension for 2024 </v>
      </c>
      <c r="D75" s="128">
        <f t="shared" si="1"/>
        <v>0</v>
      </c>
      <c r="E75" s="175"/>
      <c r="F75" s="67"/>
      <c r="G75" s="67"/>
      <c r="H75" s="67"/>
    </row>
    <row r="76" spans="1:8" ht="15" x14ac:dyDescent="0.3">
      <c r="A76" s="73"/>
      <c r="B76" s="73"/>
      <c r="C76" s="73"/>
      <c r="D76" s="80"/>
      <c r="E76" s="71"/>
      <c r="F76" s="71"/>
      <c r="G76" s="71"/>
      <c r="H76" s="71"/>
    </row>
    <row r="77" spans="1:8" ht="15" x14ac:dyDescent="0.3">
      <c r="A77" s="73"/>
      <c r="B77" s="73"/>
      <c r="C77" s="73" t="str">
        <f>"Total "&amp;C9-1&amp;" Extension "</f>
        <v xml:space="preserve">Total 2024 Extension </v>
      </c>
      <c r="D77" s="128">
        <f>D69+D75+D71+D72</f>
        <v>0</v>
      </c>
      <c r="E77" s="74" t="s">
        <v>28</v>
      </c>
      <c r="F77" s="74"/>
      <c r="G77" s="74"/>
      <c r="H77" s="74"/>
    </row>
    <row r="78" spans="1:8" ht="15" x14ac:dyDescent="0.3">
      <c r="A78" s="72"/>
      <c r="B78" s="72"/>
      <c r="C78" s="73"/>
      <c r="D78" s="71"/>
      <c r="E78" s="74"/>
      <c r="F78" s="74"/>
      <c r="G78" s="74"/>
      <c r="H78" s="74"/>
    </row>
    <row r="79" spans="1:8" hidden="1" x14ac:dyDescent="0.3">
      <c r="A79" s="81"/>
      <c r="B79" s="72"/>
      <c r="C79" s="71"/>
      <c r="D79" s="71"/>
      <c r="E79" s="71"/>
      <c r="F79" s="71"/>
      <c r="G79" s="71"/>
      <c r="H79" s="71"/>
    </row>
    <row r="80" spans="1:8" hidden="1" x14ac:dyDescent="0.3">
      <c r="A80" s="81"/>
      <c r="B80" s="72"/>
      <c r="C80" s="71"/>
      <c r="D80" s="71"/>
      <c r="E80" s="71"/>
      <c r="F80" s="71"/>
      <c r="G80" s="71"/>
      <c r="H80" s="71"/>
    </row>
    <row r="81" spans="1:8" hidden="1" x14ac:dyDescent="0.3">
      <c r="A81" s="72"/>
      <c r="B81" s="72"/>
      <c r="C81" s="72"/>
      <c r="D81" s="71"/>
      <c r="E81" s="71"/>
      <c r="F81" s="71"/>
      <c r="G81" s="71"/>
      <c r="H81" s="71"/>
    </row>
    <row r="82" spans="1:8" hidden="1" x14ac:dyDescent="0.3">
      <c r="B82" s="72"/>
      <c r="C82" s="72"/>
      <c r="D82" s="71"/>
      <c r="E82" s="71"/>
      <c r="F82" s="71"/>
    </row>
    <row r="83" spans="1:8" hidden="1" x14ac:dyDescent="0.3">
      <c r="B83" s="72"/>
      <c r="C83" s="72"/>
      <c r="D83" s="71"/>
      <c r="E83" s="71"/>
      <c r="F83" s="71"/>
    </row>
  </sheetData>
  <sheetProtection algorithmName="SHA-512" hashValue="lMhVrUWXSoqEuRXGEELaKUT87J8eVuqNVhbA56rAGvUsp9Spvxb5/kjPCp4g3598+VwDRGPuhLG/vz40OsqbzA==" saltValue="z1h3dbCo7bf50oqt3B38aQ==" spinCount="100000" sheet="1" objects="1" scenarios="1"/>
  <mergeCells count="8">
    <mergeCell ref="E19:G22"/>
    <mergeCell ref="E46:G48"/>
    <mergeCell ref="E24:F25"/>
    <mergeCell ref="G38:H38"/>
    <mergeCell ref="G39:H39"/>
    <mergeCell ref="G40:H40"/>
    <mergeCell ref="G41:H41"/>
    <mergeCell ref="G42:H42"/>
  </mergeCells>
  <phoneticPr fontId="3" type="noConversion"/>
  <conditionalFormatting sqref="A21:A22 A29:B30 D29:D30">
    <cfRule type="expression" dxfId="158" priority="50" stopIfTrue="1">
      <formula>$C$19="No"</formula>
    </cfRule>
  </conditionalFormatting>
  <conditionalFormatting sqref="A37:C37">
    <cfRule type="expression" dxfId="157" priority="15">
      <formula>$C$33="No"</formula>
    </cfRule>
  </conditionalFormatting>
  <conditionalFormatting sqref="A35:D35">
    <cfRule type="expression" dxfId="156" priority="13">
      <formula>$C$33="Yes"</formula>
    </cfRule>
  </conditionalFormatting>
  <conditionalFormatting sqref="A37:D37">
    <cfRule type="expression" dxfId="155" priority="14">
      <formula>$C$19="Yes"</formula>
    </cfRule>
  </conditionalFormatting>
  <conditionalFormatting sqref="A39:D39">
    <cfRule type="expression" dxfId="154" priority="12" stopIfTrue="1">
      <formula>$C$19="No"</formula>
    </cfRule>
  </conditionalFormatting>
  <conditionalFormatting sqref="B33:D33">
    <cfRule type="expression" dxfId="153" priority="16">
      <formula>$C$19="Yes"</formula>
    </cfRule>
  </conditionalFormatting>
  <conditionalFormatting sqref="C29">
    <cfRule type="expression" dxfId="152" priority="51" stopIfTrue="1">
      <formula>$C$19="No"</formula>
    </cfRule>
  </conditionalFormatting>
  <conditionalFormatting sqref="D41:D42">
    <cfRule type="expression" dxfId="151" priority="7">
      <formula>$C$19="No"</formula>
    </cfRule>
  </conditionalFormatting>
  <conditionalFormatting sqref="F51">
    <cfRule type="expression" dxfId="150" priority="56" stopIfTrue="1">
      <formula>$C$14=""</formula>
    </cfRule>
  </conditionalFormatting>
  <conditionalFormatting sqref="F52:F67">
    <cfRule type="expression" dxfId="149" priority="53" stopIfTrue="1">
      <formula>$C$14=""</formula>
    </cfRule>
  </conditionalFormatting>
  <conditionalFormatting sqref="F69">
    <cfRule type="expression" dxfId="148" priority="1" stopIfTrue="1">
      <formula>$C$14=""</formula>
    </cfRule>
  </conditionalFormatting>
  <conditionalFormatting sqref="F71:F73">
    <cfRule type="expression" dxfId="147" priority="17" stopIfTrue="1">
      <formula>$C$14=""</formula>
    </cfRule>
  </conditionalFormatting>
  <conditionalFormatting sqref="F75">
    <cfRule type="expression" dxfId="146" priority="4" stopIfTrue="1">
      <formula>$C$14=""</formula>
    </cfRule>
  </conditionalFormatting>
  <conditionalFormatting sqref="F50:H50">
    <cfRule type="expression" dxfId="145" priority="52" stopIfTrue="1">
      <formula>$C$14=""</formula>
    </cfRule>
  </conditionalFormatting>
  <conditionalFormatting sqref="G51:G67">
    <cfRule type="expression" dxfId="144" priority="54" stopIfTrue="1">
      <formula>$C$15=""</formula>
    </cfRule>
  </conditionalFormatting>
  <conditionalFormatting sqref="G69">
    <cfRule type="expression" dxfId="143" priority="2" stopIfTrue="1">
      <formula>$C$15=""</formula>
    </cfRule>
  </conditionalFormatting>
  <conditionalFormatting sqref="G71:G73">
    <cfRule type="expression" dxfId="142" priority="18" stopIfTrue="1">
      <formula>$C$15=""</formula>
    </cfRule>
  </conditionalFormatting>
  <conditionalFormatting sqref="G75">
    <cfRule type="expression" dxfId="141" priority="5" stopIfTrue="1">
      <formula>$C$15=""</formula>
    </cfRule>
  </conditionalFormatting>
  <conditionalFormatting sqref="G38:H42">
    <cfRule type="expression" dxfId="140" priority="8" stopIfTrue="1">
      <formula>$C$13="Cook"</formula>
    </cfRule>
    <cfRule type="expression" dxfId="139" priority="9" stopIfTrue="1">
      <formula>$C$14="Cook"</formula>
    </cfRule>
    <cfRule type="expression" dxfId="138" priority="10" stopIfTrue="1">
      <formula>$C$15="Cook"</formula>
    </cfRule>
    <cfRule type="expression" dxfId="137" priority="11" stopIfTrue="1">
      <formula>$C$16="Cook"</formula>
    </cfRule>
  </conditionalFormatting>
  <conditionalFormatting sqref="H51:H67">
    <cfRule type="expression" dxfId="136" priority="55" stopIfTrue="1">
      <formula>$C$16=""</formula>
    </cfRule>
  </conditionalFormatting>
  <conditionalFormatting sqref="H69">
    <cfRule type="expression" dxfId="135" priority="3" stopIfTrue="1">
      <formula>$C$16=""</formula>
    </cfRule>
  </conditionalFormatting>
  <conditionalFormatting sqref="H71:H73">
    <cfRule type="expression" dxfId="134" priority="19" stopIfTrue="1">
      <formula>$C$16=""</formula>
    </cfRule>
  </conditionalFormatting>
  <conditionalFormatting sqref="H75">
    <cfRule type="expression" dxfId="133" priority="6" stopIfTrue="1">
      <formula>$C$16=""</formula>
    </cfRule>
  </conditionalFormatting>
  <dataValidations count="3">
    <dataValidation type="list" showInputMessage="1" showErrorMessage="1" error="Please input only Yes or No" prompt="Is the District subject to PTELL - Tax Cap?" sqref="C19" xr:uid="{00000000-0002-0000-0200-000000000000}">
      <formula1>$AB$7:$AB$8</formula1>
    </dataValidation>
    <dataValidation type="list" showInputMessage="1" showErrorMessage="1" error="Please input only Yes or No" prompt="This determines individual fund maximums on the Calculations and Extension tabs" sqref="C21" xr:uid="{00000000-0002-0000-0200-000001000000}">
      <formula1>$AB$7:$AB$8</formula1>
    </dataValidation>
    <dataValidation type="list" showInputMessage="1" showErrorMessage="1" error="Please input only Yes or No" sqref="C33" xr:uid="{61BC4E8D-6036-46AB-B40B-0E148E92FDDC}">
      <formula1>$AB$7:$AB$8</formula1>
    </dataValidation>
  </dataValidations>
  <hyperlinks>
    <hyperlink ref="B5" r:id="rId1" xr:uid="{D1E3634E-53DC-49D6-8A98-0B23C0A9D701}"/>
    <hyperlink ref="B4" r:id="rId2" xr:uid="{A94F84C0-EF8D-411F-92C6-AFA370299AB9}"/>
  </hyperlinks>
  <pageMargins left="0.5" right="0.5" top="0.5" bottom="0.5" header="0.5" footer="0.5"/>
  <pageSetup scale="79" orientation="portrait" r:id="rId3"/>
  <headerFooter alignWithMargins="0"/>
  <ignoredErrors>
    <ignoredError sqref="A53 F69:H69" unlockedFormula="1"/>
    <ignoredError sqref="C42" evalError="1"/>
  </ignoredError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5">
    <tabColor rgb="FF00B0F0"/>
    <pageSetUpPr fitToPage="1"/>
  </sheetPr>
  <dimension ref="A1:L48"/>
  <sheetViews>
    <sheetView showGridLines="0" zoomScaleNormal="100" workbookViewId="0">
      <selection activeCell="G1" sqref="G1"/>
    </sheetView>
  </sheetViews>
  <sheetFormatPr defaultColWidth="0" defaultRowHeight="13" zeroHeight="1" x14ac:dyDescent="0.3"/>
  <cols>
    <col min="1" max="1" width="31.54296875" style="1" customWidth="1"/>
    <col min="2" max="2" width="18.36328125" style="1" customWidth="1"/>
    <col min="3" max="3" width="17.36328125" style="1" customWidth="1"/>
    <col min="4" max="4" width="23" style="1" bestFit="1" customWidth="1"/>
    <col min="5" max="5" width="1.54296875" style="1" customWidth="1"/>
    <col min="6" max="6" width="21.6328125" style="1" customWidth="1"/>
    <col min="7" max="7" width="19.08984375" style="1" customWidth="1"/>
    <col min="8" max="8" width="19" style="1" customWidth="1"/>
    <col min="9" max="9" width="2.90625" style="1" customWidth="1"/>
    <col min="10" max="10" width="20" style="1" customWidth="1"/>
    <col min="11" max="12" width="11.6328125" style="1" customWidth="1"/>
    <col min="13" max="13" width="0.90625" style="1" customWidth="1"/>
    <col min="14" max="16384" width="0" style="1" hidden="1"/>
  </cols>
  <sheetData>
    <row r="1" spans="1:12" ht="15.75" customHeight="1" thickBot="1" x14ac:dyDescent="0.35">
      <c r="H1" s="49" t="s">
        <v>33</v>
      </c>
      <c r="J1" s="287" t="s">
        <v>32</v>
      </c>
      <c r="K1" s="287"/>
      <c r="L1" s="287"/>
    </row>
    <row r="2" spans="1:12" ht="15.75" customHeight="1" x14ac:dyDescent="0.35">
      <c r="A2" s="266" t="str">
        <f>Input!$C$9&amp;" LEVY CALCULATION PAGE "</f>
        <v xml:space="preserve">2025 LEVY CALCULATION PAGE </v>
      </c>
      <c r="B2" s="266"/>
      <c r="F2" s="2"/>
      <c r="G2" s="2" t="s">
        <v>46</v>
      </c>
      <c r="H2" s="89">
        <f>Input!$C$29</f>
        <v>2.9000000000000001E-2</v>
      </c>
      <c r="J2" s="273" t="s">
        <v>30</v>
      </c>
      <c r="K2" s="274"/>
      <c r="L2" s="275"/>
    </row>
    <row r="3" spans="1:12" ht="15.75" customHeight="1" x14ac:dyDescent="0.3">
      <c r="F3" s="48"/>
      <c r="G3" s="2" t="str">
        <f>"Actual Total EAV for "&amp;Input!C9-1&amp;" "</f>
        <v xml:space="preserve">Actual Total EAV for 2024 </v>
      </c>
      <c r="H3" s="53">
        <f>Input!$C$31</f>
        <v>0</v>
      </c>
      <c r="J3" s="276" t="s">
        <v>31</v>
      </c>
      <c r="K3" s="277"/>
      <c r="L3" s="278"/>
    </row>
    <row r="4" spans="1:12" ht="15.5" thickBot="1" x14ac:dyDescent="0.35">
      <c r="F4" s="2"/>
      <c r="I4" s="50"/>
      <c r="J4" s="279" t="s">
        <v>35</v>
      </c>
      <c r="K4" s="280"/>
      <c r="L4" s="281"/>
    </row>
    <row r="5" spans="1:12" ht="15.75" customHeight="1" x14ac:dyDescent="0.3">
      <c r="A5" s="272" t="s">
        <v>5</v>
      </c>
      <c r="B5" s="267" t="s">
        <v>7</v>
      </c>
      <c r="C5" s="267"/>
      <c r="D5" s="267"/>
      <c r="F5" s="2"/>
      <c r="G5" s="2" t="str">
        <f>"Estimated Existing EAV % change for "&amp;Input!C9&amp;" "</f>
        <v xml:space="preserve">Estimated Existing EAV % change for 2025 </v>
      </c>
      <c r="H5" s="89">
        <f>IF(Input!$C$19="Yes",Input!$C$35,Input!$C$42)</f>
        <v>0</v>
      </c>
      <c r="I5" s="50"/>
    </row>
    <row r="6" spans="1:12" ht="15.75" customHeight="1" x14ac:dyDescent="0.3">
      <c r="A6" s="272"/>
      <c r="B6" s="268" t="s">
        <v>29</v>
      </c>
      <c r="C6" s="268"/>
      <c r="D6" s="268"/>
      <c r="F6" s="2"/>
      <c r="G6" s="2" t="str">
        <f>"Estimated Existing EAV Value for "&amp;Input!C9&amp;" "</f>
        <v xml:space="preserve">Estimated Existing EAV Value for 2025 </v>
      </c>
      <c r="H6" s="53">
        <f>H3*(1+H5)</f>
        <v>0</v>
      </c>
      <c r="I6" s="50"/>
    </row>
    <row r="7" spans="1:12" ht="15.75" customHeight="1" x14ac:dyDescent="0.3">
      <c r="F7" s="48"/>
      <c r="G7" s="48"/>
    </row>
    <row r="8" spans="1:12" ht="15" x14ac:dyDescent="0.3">
      <c r="F8" s="2"/>
      <c r="G8" s="2" t="str">
        <f>"Estimated New Property for "&amp;[1]Input!C9&amp;" "</f>
        <v xml:space="preserve">Estimated New Property for 2024 </v>
      </c>
      <c r="H8" s="53">
        <f>IF(Input!$C$19="No",0,Input!$C$39)</f>
        <v>0</v>
      </c>
    </row>
    <row r="9" spans="1:12" ht="15" x14ac:dyDescent="0.3">
      <c r="A9" s="5" t="s">
        <v>54</v>
      </c>
      <c r="B9" s="93" t="e">
        <f>IF(Input!C19="Yes",Input!D69*(1+MIN(0.05,Input!$C$29))/(Input!$C$41-Input!C39)*100,"N/A")</f>
        <v>#DIV/0!</v>
      </c>
      <c r="C9" s="6"/>
    </row>
    <row r="10" spans="1:12" ht="15" x14ac:dyDescent="0.3">
      <c r="A10" s="5" t="s">
        <v>55</v>
      </c>
      <c r="B10" s="63" t="e">
        <f>IF(Input!C19="Yes",(B9*Input!C41)/100,"N/A")</f>
        <v>#DIV/0!</v>
      </c>
      <c r="C10" s="7"/>
      <c r="F10" s="2"/>
      <c r="G10" s="2" t="str">
        <f>"Estimated Total EAV for "&amp;Input!C9&amp;" "</f>
        <v xml:space="preserve">Estimated Total EAV for 2025 </v>
      </c>
      <c r="H10" s="90">
        <f>Input!$C$41</f>
        <v>0</v>
      </c>
      <c r="I10" s="50" t="s">
        <v>36</v>
      </c>
    </row>
    <row r="11" spans="1:12" ht="15" x14ac:dyDescent="0.3">
      <c r="F11" s="2"/>
      <c r="G11" s="2" t="str">
        <f>"Estimated Total EAV % change for "&amp;Input!C9&amp;" "</f>
        <v xml:space="preserve">Estimated Total EAV % change for 2025 </v>
      </c>
      <c r="H11" s="88" t="e">
        <f>Input!$C$42</f>
        <v>#DIV/0!</v>
      </c>
      <c r="I11" s="50" t="s">
        <v>36</v>
      </c>
    </row>
    <row r="12" spans="1:12" ht="12.75" customHeight="1" x14ac:dyDescent="0.3">
      <c r="F12" s="271" t="str">
        <f>IF(Input!C19="Yes","Weighted Extension Based on Prior Year Extension","Individual Fund Estimated Maximum Extension")</f>
        <v>Weighted Extension Based on Prior Year Extension</v>
      </c>
      <c r="G12" s="271" t="str">
        <f>IF(Input!C19="Yes","Levy Amount $","Levy Amount $")</f>
        <v>Levy Amount $</v>
      </c>
      <c r="H12" s="269" t="s">
        <v>95</v>
      </c>
    </row>
    <row r="13" spans="1:12" ht="36" customHeight="1" x14ac:dyDescent="0.3">
      <c r="B13" s="8" t="s">
        <v>53</v>
      </c>
      <c r="C13" s="8" t="s">
        <v>82</v>
      </c>
      <c r="D13" s="8" t="str">
        <f>IF(Input!$C$21="no","Individual Fund Estimated Maximum Extension","Individual Fund Estimated Maximum Extension using Prior Year EAV")</f>
        <v>Individual Fund Estimated Maximum Extension</v>
      </c>
      <c r="F13" s="270"/>
      <c r="G13" s="270"/>
      <c r="H13" s="270"/>
      <c r="J13" s="9" t="s">
        <v>96</v>
      </c>
      <c r="K13" s="271" t="s">
        <v>84</v>
      </c>
      <c r="L13" s="271"/>
    </row>
    <row r="14" spans="1:12" ht="15" x14ac:dyDescent="0.3">
      <c r="A14" s="73" t="str">
        <f>Input!B51</f>
        <v xml:space="preserve">Corporate </v>
      </c>
      <c r="B14" s="59">
        <f>Input!D51</f>
        <v>0</v>
      </c>
      <c r="C14" s="180">
        <f>Input!C51</f>
        <v>0</v>
      </c>
      <c r="D14" s="59">
        <f>IF(Input!$C$21="no",C14*Input!$C$41,C14*($H$3+$H$8))/100</f>
        <v>0</v>
      </c>
      <c r="F14" s="59" t="e">
        <f>IF(Input!$C$19="Yes",B14/$B$33*$B$10,D14)</f>
        <v>#DIV/0!</v>
      </c>
      <c r="G14" s="55"/>
      <c r="H14" s="64"/>
      <c r="J14" s="59" t="e">
        <f>ROUNDUP(IF(G14="",F14*(1+H14),G14*(1+H14)),0)</f>
        <v>#DIV/0!</v>
      </c>
      <c r="K14" s="264" t="str">
        <f>IF(Input!$C$19="Yes","",IF(J14&gt;=D14,"YES","NO"))</f>
        <v/>
      </c>
      <c r="L14" s="265"/>
    </row>
    <row r="15" spans="1:12" ht="15" x14ac:dyDescent="0.3">
      <c r="A15" s="73" t="str">
        <f>Input!B52</f>
        <v xml:space="preserve">Working Cash Funds </v>
      </c>
      <c r="B15" s="59">
        <f>Input!D52</f>
        <v>0</v>
      </c>
      <c r="C15" s="180">
        <f>Input!C52</f>
        <v>0</v>
      </c>
      <c r="D15" s="59">
        <f>IF(Input!$C$21="no",C15*Input!$C$41,C15*($H$3+$H$8))/100</f>
        <v>0</v>
      </c>
      <c r="F15" s="59" t="e">
        <f>IF(Input!$C$19="Yes",B15/$B$33*$B$10,D15)</f>
        <v>#DIV/0!</v>
      </c>
      <c r="G15" s="55"/>
      <c r="H15" s="64"/>
      <c r="J15" s="59" t="e">
        <f>ROUNDUP(IF(G15="",F15*(1+H15),G15*(1+H15)),0)</f>
        <v>#DIV/0!</v>
      </c>
      <c r="K15" s="264" t="str">
        <f>IF(Input!$C$19="Yes","",IF(J15&gt;=D15,"YES","NO"))</f>
        <v/>
      </c>
      <c r="L15" s="265"/>
    </row>
    <row r="16" spans="1:12" ht="15" x14ac:dyDescent="0.3">
      <c r="A16" s="73" t="str">
        <f>Input!B53</f>
        <v xml:space="preserve">Police Protection </v>
      </c>
      <c r="B16" s="59">
        <f>Input!D53</f>
        <v>0</v>
      </c>
      <c r="C16" s="180">
        <f>Input!C53</f>
        <v>0</v>
      </c>
      <c r="D16" s="59">
        <f>IF(Input!$C$21="no",C16*Input!$C$41,C16*($H$3+$H$8))/100</f>
        <v>0</v>
      </c>
      <c r="F16" s="59" t="e">
        <f>IF(Input!$C$19="Yes",B16/$B$33*$B$10,D16)</f>
        <v>#DIV/0!</v>
      </c>
      <c r="G16" s="55"/>
      <c r="H16" s="64"/>
      <c r="J16" s="59" t="e">
        <f>ROUNDUP(IF(G16="",F16*(1+H16),G16*(1+H16)),0)</f>
        <v>#DIV/0!</v>
      </c>
      <c r="K16" s="264" t="str">
        <f>IF(Input!$C$19="Yes","",IF(J16&gt;=D16,"YES","NO"))</f>
        <v/>
      </c>
      <c r="L16" s="265"/>
    </row>
    <row r="17" spans="1:12" ht="15" x14ac:dyDescent="0.3">
      <c r="A17" s="73" t="str">
        <f>Input!B54</f>
        <v xml:space="preserve">Auditing </v>
      </c>
      <c r="B17" s="59">
        <f>Input!D54</f>
        <v>0</v>
      </c>
      <c r="C17" s="180">
        <f>Input!C54</f>
        <v>0</v>
      </c>
      <c r="D17" s="59">
        <f>IF(Input!$C$21="no",C17*Input!$C$41,C17*($H$3+$H$8))/100</f>
        <v>0</v>
      </c>
      <c r="F17" s="59" t="e">
        <f>IF(Input!$C$19="Yes",B17/$B$33*$B$10,D17)</f>
        <v>#DIV/0!</v>
      </c>
      <c r="G17" s="55"/>
      <c r="H17" s="64"/>
      <c r="J17" s="59" t="e">
        <f>ROUNDUP(IF(G17="",F17*(1+H17),G17*(1+H17)),0)</f>
        <v>#DIV/0!</v>
      </c>
      <c r="K17" s="264" t="str">
        <f>IF(Input!$C$19="Yes","",IF(J17&gt;=D17,"YES","NO"))</f>
        <v/>
      </c>
      <c r="L17" s="265"/>
    </row>
    <row r="18" spans="1:12" ht="15" x14ac:dyDescent="0.3">
      <c r="A18" s="73" t="str">
        <f>Input!B55</f>
        <v xml:space="preserve">Municipal Retirement </v>
      </c>
      <c r="B18" s="59">
        <f>Input!D55</f>
        <v>0</v>
      </c>
      <c r="C18" s="180">
        <f>Input!C55</f>
        <v>0</v>
      </c>
      <c r="D18" s="181" t="str">
        <f>IF(Input!C19="Yes","$0.00 ","Input in Manual Override")</f>
        <v xml:space="preserve">$0.00 </v>
      </c>
      <c r="F18" s="59" t="e">
        <f>IF(Input!$C$19="Yes",B18/$B$33*$B$10,"Levy Amount $ Required")</f>
        <v>#DIV/0!</v>
      </c>
      <c r="G18" s="55"/>
      <c r="H18" s="64"/>
      <c r="J18" s="59" t="e">
        <f t="shared" ref="J18:J23" si="0">ROUND(IF(G18="",F18*(1+H18),G18*(1+H18)),0)</f>
        <v>#DIV/0!</v>
      </c>
      <c r="K18" s="264" t="str">
        <f>IF(Input!$C$19="Yes"," ","N/A")</f>
        <v xml:space="preserve"> </v>
      </c>
      <c r="L18" s="265"/>
    </row>
    <row r="19" spans="1:12" ht="15" x14ac:dyDescent="0.3">
      <c r="A19" s="73" t="str">
        <f>Input!B56</f>
        <v xml:space="preserve">Unemployment Insurance </v>
      </c>
      <c r="B19" s="59">
        <f>Input!D56</f>
        <v>0</v>
      </c>
      <c r="C19" s="180">
        <f>Input!C56</f>
        <v>0</v>
      </c>
      <c r="D19" s="181" t="str">
        <f>IF(Input!C20="Yes","$0.00 ","Input in Manual Override")</f>
        <v>Input in Manual Override</v>
      </c>
      <c r="F19" s="59" t="e">
        <f>IF(Input!$C$19="Yes",B19/$B$33*$B$10,"Levy Amount $ Required")</f>
        <v>#DIV/0!</v>
      </c>
      <c r="G19" s="55"/>
      <c r="H19" s="64"/>
      <c r="J19" s="59" t="e">
        <f t="shared" si="0"/>
        <v>#DIV/0!</v>
      </c>
      <c r="K19" s="264" t="str">
        <f>IF(Input!$C$19="Yes"," ","N/A")</f>
        <v xml:space="preserve"> </v>
      </c>
      <c r="L19" s="265"/>
    </row>
    <row r="20" spans="1:12" ht="15" x14ac:dyDescent="0.3">
      <c r="A20" s="73" t="str">
        <f>Input!B57</f>
        <v xml:space="preserve">Workman's Compensation </v>
      </c>
      <c r="B20" s="59">
        <f>Input!D57</f>
        <v>0</v>
      </c>
      <c r="C20" s="180">
        <f>Input!C57</f>
        <v>0</v>
      </c>
      <c r="D20" s="181" t="str">
        <f>IF(Input!C21="Yes","$0.00 ","Input in Manual Override")</f>
        <v>Input in Manual Override</v>
      </c>
      <c r="F20" s="59" t="e">
        <f>IF(Input!$C$19="Yes",B20/$B$33*$B$10,"Levy Amount $ Required")</f>
        <v>#DIV/0!</v>
      </c>
      <c r="G20" s="55"/>
      <c r="H20" s="64"/>
      <c r="J20" s="59" t="e">
        <f t="shared" si="0"/>
        <v>#DIV/0!</v>
      </c>
      <c r="K20" s="264" t="str">
        <f>IF(Input!$C$19="Yes"," ","N/A")</f>
        <v xml:space="preserve"> </v>
      </c>
      <c r="L20" s="265"/>
    </row>
    <row r="21" spans="1:12" ht="15" x14ac:dyDescent="0.3">
      <c r="A21" s="73" t="str">
        <f>Input!B58</f>
        <v xml:space="preserve">Social Security </v>
      </c>
      <c r="B21" s="59">
        <f>Input!D58</f>
        <v>0</v>
      </c>
      <c r="C21" s="180">
        <f>Input!C58</f>
        <v>0</v>
      </c>
      <c r="D21" s="181" t="str">
        <f>IF(Input!C19="Yes","$0.00 ","Input in Manual Override")</f>
        <v xml:space="preserve">$0.00 </v>
      </c>
      <c r="F21" s="59" t="e">
        <f>IF(Input!$C$19="Yes",B21/$B$33*$B$10,"Levy Amount $ Required")</f>
        <v>#DIV/0!</v>
      </c>
      <c r="G21" s="55"/>
      <c r="H21" s="64"/>
      <c r="J21" s="59" t="e">
        <f t="shared" si="0"/>
        <v>#DIV/0!</v>
      </c>
      <c r="K21" s="264" t="str">
        <f>IF(Input!$C$19="Yes"," ","N/A")</f>
        <v xml:space="preserve"> </v>
      </c>
      <c r="L21" s="265"/>
    </row>
    <row r="22" spans="1:12" ht="15" x14ac:dyDescent="0.3">
      <c r="A22" s="73" t="str">
        <f>Input!B59</f>
        <v xml:space="preserve">Recreation </v>
      </c>
      <c r="B22" s="59">
        <f>Input!D59</f>
        <v>0</v>
      </c>
      <c r="C22" s="180">
        <f>Input!C59</f>
        <v>0</v>
      </c>
      <c r="D22" s="59">
        <f>IF(Input!$C$21="no",C22*Input!$C$41,C22*($H$3+$H$8))/100</f>
        <v>0</v>
      </c>
      <c r="F22" s="59" t="e">
        <f>IF(Input!$C$19="Yes",B22/$B$33*$B$10,D22)</f>
        <v>#DIV/0!</v>
      </c>
      <c r="G22" s="55"/>
      <c r="H22" s="64"/>
      <c r="J22" s="59" t="e">
        <f>ROUNDUP(IF(G22="",F22*(1+H22),G22*(1+H22)),0)</f>
        <v>#DIV/0!</v>
      </c>
      <c r="K22" s="264" t="str">
        <f>IF(Input!$C$19="Yes","",IF(J22&gt;=D22,"YES","NO"))</f>
        <v/>
      </c>
      <c r="L22" s="265"/>
    </row>
    <row r="23" spans="1:12" ht="15" x14ac:dyDescent="0.3">
      <c r="A23" s="73" t="str">
        <f>Input!B60</f>
        <v xml:space="preserve">Liability Insurance </v>
      </c>
      <c r="B23" s="59">
        <f>Input!D60</f>
        <v>0</v>
      </c>
      <c r="C23" s="180">
        <f>Input!C60</f>
        <v>0</v>
      </c>
      <c r="D23" s="181" t="str">
        <f>IF(Input!C19="Yes","$0.00 ","Input in Manual Override")</f>
        <v xml:space="preserve">$0.00 </v>
      </c>
      <c r="F23" s="59" t="e">
        <f>IF(Input!$C$19="Yes",B23/$B$33*$B$10,"Levy Amount $ Required")</f>
        <v>#DIV/0!</v>
      </c>
      <c r="G23" s="55"/>
      <c r="H23" s="64"/>
      <c r="J23" s="59" t="e">
        <f t="shared" si="0"/>
        <v>#DIV/0!</v>
      </c>
      <c r="K23" s="264" t="str">
        <f>IF(Input!$C$19="Yes"," ","N/A")</f>
        <v xml:space="preserve"> </v>
      </c>
      <c r="L23" s="265"/>
    </row>
    <row r="24" spans="1:12" ht="15" x14ac:dyDescent="0.3">
      <c r="A24" s="73" t="str">
        <f>Input!B61</f>
        <v xml:space="preserve">Paving/Lighting </v>
      </c>
      <c r="B24" s="59">
        <f>Input!D61</f>
        <v>0</v>
      </c>
      <c r="C24" s="180">
        <f>Input!C61</f>
        <v>0</v>
      </c>
      <c r="D24" s="59">
        <f>IF(Input!$C$21="no",C24*Input!$C$41,C24*($H$3+$H$8))/100</f>
        <v>0</v>
      </c>
      <c r="F24" s="59" t="e">
        <f>IF(Input!$C$19="Yes",B24/$B$33*$B$10,D24)</f>
        <v>#DIV/0!</v>
      </c>
      <c r="G24" s="55"/>
      <c r="H24" s="64"/>
      <c r="J24" s="59" t="e">
        <f>ROUNDUP(IF(G24="",F24*(1+H24),G24*(1+H24)),0)</f>
        <v>#DIV/0!</v>
      </c>
      <c r="K24" s="264" t="str">
        <f>IF(Input!$C$19="Yes","",IF(J24&gt;=D24,"YES","NO"))</f>
        <v/>
      </c>
      <c r="L24" s="265"/>
    </row>
    <row r="25" spans="1:12" ht="15" x14ac:dyDescent="0.3">
      <c r="A25" s="73" t="str">
        <f>Input!B62</f>
        <v xml:space="preserve">Public Benefit </v>
      </c>
      <c r="B25" s="59">
        <f>Input!D62</f>
        <v>0</v>
      </c>
      <c r="C25" s="180">
        <f>Input!C62</f>
        <v>0</v>
      </c>
      <c r="D25" s="59">
        <f>IF(Input!$C$21="no",C25*Input!$C$41,C25*($H$3+$H$8))/100</f>
        <v>0</v>
      </c>
      <c r="F25" s="59" t="e">
        <f>IF(Input!$C$19="Yes",B25/$B$33*$B$10,D25)</f>
        <v>#DIV/0!</v>
      </c>
      <c r="G25" s="55"/>
      <c r="H25" s="64"/>
      <c r="J25" s="59" t="e">
        <f>ROUNDUP(IF(G25="",F25*(1+H25),G25*(1+H25)),0)</f>
        <v>#DIV/0!</v>
      </c>
      <c r="K25" s="264" t="str">
        <f>IF(Input!$C$19="Yes","",IF(J25&gt;=D25,"YES","NO"))</f>
        <v/>
      </c>
      <c r="L25" s="265"/>
    </row>
    <row r="26" spans="1:12" ht="15" x14ac:dyDescent="0.3">
      <c r="A26" s="73" t="str">
        <f>Input!B63</f>
        <v>Museum</v>
      </c>
      <c r="B26" s="59">
        <f>Input!D63</f>
        <v>0</v>
      </c>
      <c r="C26" s="180">
        <f>Input!C63</f>
        <v>0</v>
      </c>
      <c r="D26" s="59">
        <f>IF(Input!$C$21="no",C26*Input!$C$41,C26*($H$3+$H$8))/100</f>
        <v>0</v>
      </c>
      <c r="F26" s="59" t="e">
        <f>IF(Input!$C$19="Yes",B26/$B$33*$B$10,D26)</f>
        <v>#DIV/0!</v>
      </c>
      <c r="G26" s="55"/>
      <c r="H26" s="64"/>
      <c r="J26" s="59" t="e">
        <f>ROUNDUP(IF(G26="",F26*(1+H26),G26*(1+H26)),0)</f>
        <v>#DIV/0!</v>
      </c>
      <c r="K26" s="264" t="str">
        <f>IF(Input!$C$19="Yes","",IF(J26&gt;=D26,"YES","NO"))</f>
        <v/>
      </c>
      <c r="L26" s="265"/>
    </row>
    <row r="27" spans="1:12" ht="15" x14ac:dyDescent="0.3">
      <c r="A27" s="73" t="str">
        <f>Input!B64</f>
        <v>Public Safety and Security</v>
      </c>
      <c r="B27" s="59">
        <f>Input!D64</f>
        <v>0</v>
      </c>
      <c r="C27" s="180">
        <f>Input!C64</f>
        <v>0</v>
      </c>
      <c r="D27" s="59">
        <f>IF(Input!$C$21="no",C27*Input!$C$41,C27*($H$3+$H$8))/100</f>
        <v>0</v>
      </c>
      <c r="F27" s="59" t="e">
        <f>IF(Input!$C$19="Yes",B27/$B$33*$B$10,D27)</f>
        <v>#DIV/0!</v>
      </c>
      <c r="G27" s="55"/>
      <c r="H27" s="64"/>
      <c r="J27" s="59" t="e">
        <f>ROUNDUP(IF(G27="",F27*(1+H27),G27*(1+H27)),0)</f>
        <v>#DIV/0!</v>
      </c>
      <c r="K27" s="264" t="str">
        <f>IF(Input!$C$19="Yes","",IF(J27&gt;=D27,"YES","NO"))</f>
        <v/>
      </c>
      <c r="L27" s="265"/>
    </row>
    <row r="28" spans="1:12" ht="15" x14ac:dyDescent="0.3">
      <c r="A28" s="73" t="str">
        <f>Input!B65</f>
        <v xml:space="preserve">Custom 1 </v>
      </c>
      <c r="B28" s="59">
        <f>Input!D65</f>
        <v>0</v>
      </c>
      <c r="C28" s="180">
        <f>Input!C65</f>
        <v>0</v>
      </c>
      <c r="D28" s="59">
        <f>IF(Input!$C$21="no",C28*Input!$C$41,C28*($H$3+$H$8))/100</f>
        <v>0</v>
      </c>
      <c r="F28" s="59" t="e">
        <f>IF(Input!$C$19="Yes",B28/$B$33*$B$10,D28)</f>
        <v>#DIV/0!</v>
      </c>
      <c r="G28" s="55"/>
      <c r="H28" s="64"/>
      <c r="J28" s="59" t="e">
        <f t="shared" ref="J28:J29" si="1">ROUNDUP(IF(G28="",F28*(1+H28),G28*(1+H28)),0)</f>
        <v>#DIV/0!</v>
      </c>
      <c r="K28" s="264" t="str">
        <f>IF(Input!$C$19="Yes","",IF(J28&gt;=D28,"YES","NO"))</f>
        <v/>
      </c>
      <c r="L28" s="265"/>
    </row>
    <row r="29" spans="1:12" ht="15" x14ac:dyDescent="0.3">
      <c r="A29" s="73" t="str">
        <f>Input!B66</f>
        <v xml:space="preserve">Custom 2 </v>
      </c>
      <c r="B29" s="59">
        <f>Input!D66</f>
        <v>0</v>
      </c>
      <c r="C29" s="180">
        <f>Input!C66</f>
        <v>0</v>
      </c>
      <c r="D29" s="59">
        <f>IF(Input!$C$21="no",C29*Input!$C$41,C29*($H$3+$H$8))/100</f>
        <v>0</v>
      </c>
      <c r="F29" s="59" t="e">
        <f>IF(Input!$C$19="Yes",B29/$B$33*$B$10,D29)</f>
        <v>#DIV/0!</v>
      </c>
      <c r="G29" s="55"/>
      <c r="H29" s="64"/>
      <c r="J29" s="59" t="e">
        <f t="shared" si="1"/>
        <v>#DIV/0!</v>
      </c>
      <c r="K29" s="264" t="str">
        <f>IF(Input!$C$19="Yes","",IF(J29&gt;=D29,"YES","NO"))</f>
        <v/>
      </c>
      <c r="L29" s="265"/>
    </row>
    <row r="30" spans="1:12" ht="15" x14ac:dyDescent="0.3">
      <c r="A30" s="73" t="str">
        <f>Input!B67</f>
        <v xml:space="preserve">Custom 3 </v>
      </c>
      <c r="B30" s="59">
        <f>Input!D67</f>
        <v>0</v>
      </c>
      <c r="C30" s="180">
        <f>Input!C67</f>
        <v>0</v>
      </c>
      <c r="D30" s="59">
        <f>IF(Input!$C$21="no",C30*Input!$C$41,C30*($H$3+$H$8))/100</f>
        <v>0</v>
      </c>
      <c r="F30" s="59" t="e">
        <f>IF(Input!$C$19="Yes",B30/$B$33*$B$10,D30)</f>
        <v>#DIV/0!</v>
      </c>
      <c r="G30" s="55"/>
      <c r="H30" s="64"/>
      <c r="J30" s="59" t="e">
        <f>ROUNDUP(IF(G30="",F30*(1+H30),G30*(1+H30)),0)</f>
        <v>#DIV/0!</v>
      </c>
      <c r="K30" s="264" t="str">
        <f>IF(Input!$C$19="Yes","",IF(J30&gt;=D30,"YES","NO"))</f>
        <v/>
      </c>
      <c r="L30" s="265"/>
    </row>
    <row r="31" spans="1:12" s="71" customFormat="1" ht="8.25" customHeight="1" x14ac:dyDescent="0.3">
      <c r="A31" s="73"/>
      <c r="B31" s="79"/>
      <c r="C31" s="226"/>
      <c r="D31" s="79"/>
      <c r="F31" s="79"/>
      <c r="G31" s="227"/>
      <c r="H31" s="228"/>
      <c r="J31" s="79"/>
    </row>
    <row r="32" spans="1:12" ht="21" customHeight="1" thickBot="1" x14ac:dyDescent="0.35">
      <c r="B32" s="3"/>
      <c r="C32" s="3"/>
    </row>
    <row r="33" spans="1:12" ht="15.5" thickBot="1" x14ac:dyDescent="0.35">
      <c r="A33" s="2" t="str">
        <f>IF(Input!C19="Yes","Capped Extension ","Extension  ")</f>
        <v xml:space="preserve">Capped Extension </v>
      </c>
      <c r="B33" s="62">
        <f>SUM(B14:B30)</f>
        <v>0</v>
      </c>
      <c r="C33" s="122"/>
      <c r="D33" s="178">
        <f>SUM(D14:D30)</f>
        <v>0</v>
      </c>
      <c r="F33" s="62" t="e">
        <f>SUM(F14:F30)</f>
        <v>#DIV/0!</v>
      </c>
      <c r="G33" s="178">
        <f>SUM(G14:G32)</f>
        <v>0</v>
      </c>
      <c r="I33" s="2" t="str">
        <f>IF(Input!C19="Yes","Capped Levy ","District Levy ")</f>
        <v xml:space="preserve">Capped Levy </v>
      </c>
      <c r="J33" s="239" t="e">
        <f>SUM(J14:J30)</f>
        <v>#DIV/0!</v>
      </c>
    </row>
    <row r="34" spans="1:12" ht="15.5" thickBot="1" x14ac:dyDescent="0.35">
      <c r="A34" s="2"/>
      <c r="H34" s="71"/>
      <c r="I34" s="73" t="e">
        <f>IF(J34&lt;0,"Levy Amount Below Estimated Extension ","Levy Amount Above Estimated Extension ")</f>
        <v>#DIV/0!</v>
      </c>
      <c r="J34" s="234" t="e">
        <f>IF(Input!C19="Yes",J33-B10,"N/A")</f>
        <v>#DIV/0!</v>
      </c>
    </row>
    <row r="35" spans="1:12" ht="15" x14ac:dyDescent="0.3">
      <c r="A35" s="2"/>
    </row>
    <row r="36" spans="1:12" ht="15.5" thickBot="1" x14ac:dyDescent="0.35">
      <c r="A36" s="2"/>
      <c r="D36" s="2" t="s">
        <v>100</v>
      </c>
      <c r="F36" s="238"/>
      <c r="G36" s="121" t="str">
        <f>IF(F36&gt;4%," ALERT - Special Rec. Rate Can Not Exceed 0.04","")</f>
        <v/>
      </c>
      <c r="H36" s="121"/>
      <c r="I36" s="121"/>
      <c r="J36" s="121"/>
      <c r="K36" s="288" t="s">
        <v>6</v>
      </c>
      <c r="L36" s="288"/>
    </row>
    <row r="37" spans="1:12" ht="15.5" thickBot="1" x14ac:dyDescent="0.35">
      <c r="A37" s="2" t="s">
        <v>98</v>
      </c>
      <c r="B37" s="62">
        <f>Input!D71</f>
        <v>0</v>
      </c>
      <c r="C37" s="50"/>
      <c r="D37" s="2" t="s">
        <v>101</v>
      </c>
      <c r="F37" s="179" t="str">
        <f>IF(F36="","",H10*(MIN(F36,4%))/100)</f>
        <v/>
      </c>
      <c r="G37" s="60"/>
      <c r="H37" s="52"/>
      <c r="I37" s="2"/>
      <c r="J37" s="234">
        <f>G37</f>
        <v>0</v>
      </c>
      <c r="K37" s="176" t="e">
        <f>(J33+J37+J40)/(B33+B37+B40)-1</f>
        <v>#DIV/0!</v>
      </c>
      <c r="L37" s="119" t="e">
        <f>IF(K37&gt;0.05,"YES","NO")</f>
        <v>#DIV/0!</v>
      </c>
    </row>
    <row r="38" spans="1:12" ht="15" x14ac:dyDescent="0.3">
      <c r="A38" s="2"/>
      <c r="B38" s="4"/>
      <c r="C38" s="50"/>
      <c r="D38" s="2"/>
      <c r="F38" s="282" t="s">
        <v>181</v>
      </c>
      <c r="G38" s="283"/>
      <c r="H38" s="52"/>
      <c r="I38" s="2"/>
      <c r="J38" s="177"/>
      <c r="K38" s="286" t="s">
        <v>83</v>
      </c>
      <c r="L38" s="286"/>
    </row>
    <row r="39" spans="1:12" ht="15.5" thickBot="1" x14ac:dyDescent="0.35">
      <c r="A39" s="185"/>
      <c r="B39" s="186"/>
      <c r="C39" s="187"/>
      <c r="D39" s="2"/>
      <c r="E39" s="186"/>
      <c r="F39" s="284"/>
      <c r="G39" s="285"/>
      <c r="H39" s="188"/>
      <c r="I39" s="2"/>
      <c r="J39" s="177"/>
    </row>
    <row r="40" spans="1:12" ht="15" hidden="1" x14ac:dyDescent="0.3">
      <c r="A40" s="185" t="s">
        <v>109</v>
      </c>
      <c r="B40" s="178">
        <f>Input!D72</f>
        <v>0</v>
      </c>
      <c r="C40" s="187"/>
      <c r="D40" s="185" t="s">
        <v>108</v>
      </c>
      <c r="E40" s="186"/>
      <c r="F40" s="189"/>
      <c r="G40" s="189"/>
      <c r="H40" s="188"/>
      <c r="I40" s="2"/>
      <c r="J40" s="190">
        <f>G40</f>
        <v>0</v>
      </c>
    </row>
    <row r="41" spans="1:12" ht="15.5" thickBot="1" x14ac:dyDescent="0.35">
      <c r="A41" s="2"/>
      <c r="G41" s="120"/>
    </row>
    <row r="42" spans="1:12" ht="15.5" thickBot="1" x14ac:dyDescent="0.35">
      <c r="A42" s="2" t="s">
        <v>86</v>
      </c>
      <c r="B42" s="62">
        <f>Input!D75</f>
        <v>0</v>
      </c>
      <c r="C42" s="10"/>
      <c r="F42" s="2" t="s">
        <v>56</v>
      </c>
      <c r="G42" s="60"/>
      <c r="H42" s="50"/>
      <c r="I42" s="2" t="s">
        <v>92</v>
      </c>
      <c r="J42" s="239">
        <f>G42</f>
        <v>0</v>
      </c>
      <c r="K42" s="176" t="e">
        <f>J42/B42-1</f>
        <v>#DIV/0!</v>
      </c>
    </row>
    <row r="43" spans="1:12" ht="15.5" thickBot="1" x14ac:dyDescent="0.35">
      <c r="A43" s="2"/>
      <c r="B43" s="130"/>
      <c r="C43" s="4"/>
      <c r="D43" s="4"/>
      <c r="G43" s="120" t="s">
        <v>75</v>
      </c>
      <c r="I43" s="2"/>
      <c r="J43" s="2"/>
      <c r="K43" s="12"/>
    </row>
    <row r="44" spans="1:12" ht="15.5" thickBot="1" x14ac:dyDescent="0.35">
      <c r="A44" s="2" t="s">
        <v>87</v>
      </c>
      <c r="B44" s="62">
        <f>B33+B42+B37+B40</f>
        <v>0</v>
      </c>
      <c r="C44" s="10"/>
      <c r="I44" s="2" t="s">
        <v>57</v>
      </c>
      <c r="J44" s="239" t="e">
        <f>J33+J42+J37+J40</f>
        <v>#DIV/0!</v>
      </c>
      <c r="K44" s="176" t="e">
        <f>J44/B44-1</f>
        <v>#DIV/0!</v>
      </c>
    </row>
    <row r="45" spans="1:12" ht="4.5" customHeight="1" x14ac:dyDescent="0.3">
      <c r="C45" s="3"/>
    </row>
    <row r="46" spans="1:12" x14ac:dyDescent="0.3">
      <c r="C46" s="3"/>
    </row>
    <row r="47" spans="1:12" x14ac:dyDescent="0.3"/>
    <row r="48" spans="1:12" x14ac:dyDescent="0.3"/>
  </sheetData>
  <sheetProtection algorithmName="SHA-512" hashValue="5xdpzaW/u6PIJjkZDBzFu3pYmCKplup/cxJUJUSYJ688wcnwfKd3V+nxLT8BxzxzfDeCRM3uegXMXCfx313sJw==" saltValue="THh408EWNiK4Oi+GmS9S0A==" spinCount="100000" sheet="1" objects="1" scenarios="1"/>
  <mergeCells count="32">
    <mergeCell ref="F38:G39"/>
    <mergeCell ref="K29:L29"/>
    <mergeCell ref="K38:L38"/>
    <mergeCell ref="J1:L1"/>
    <mergeCell ref="K36:L36"/>
    <mergeCell ref="K22:L22"/>
    <mergeCell ref="K24:L24"/>
    <mergeCell ref="K25:L25"/>
    <mergeCell ref="K30:L30"/>
    <mergeCell ref="K18:L18"/>
    <mergeCell ref="K21:L21"/>
    <mergeCell ref="K23:L23"/>
    <mergeCell ref="K13:L13"/>
    <mergeCell ref="K14:L14"/>
    <mergeCell ref="K15:L15"/>
    <mergeCell ref="K16:L16"/>
    <mergeCell ref="K19:L19"/>
    <mergeCell ref="K20:L20"/>
    <mergeCell ref="K28:L28"/>
    <mergeCell ref="K17:L17"/>
    <mergeCell ref="A2:B2"/>
    <mergeCell ref="B5:D5"/>
    <mergeCell ref="B6:D6"/>
    <mergeCell ref="H12:H13"/>
    <mergeCell ref="F12:F13"/>
    <mergeCell ref="G12:G13"/>
    <mergeCell ref="A5:A6"/>
    <mergeCell ref="J2:L2"/>
    <mergeCell ref="J3:L3"/>
    <mergeCell ref="J4:L4"/>
    <mergeCell ref="K26:L26"/>
    <mergeCell ref="K27:L27"/>
  </mergeCells>
  <phoneticPr fontId="3" type="noConversion"/>
  <conditionalFormatting sqref="A5:B5 B6">
    <cfRule type="expression" dxfId="132" priority="88" stopIfTrue="1">
      <formula>$B$9="N/A"</formula>
    </cfRule>
  </conditionalFormatting>
  <conditionalFormatting sqref="A9:B10">
    <cfRule type="expression" dxfId="131" priority="89" stopIfTrue="1">
      <formula>$B$9="N/A"</formula>
    </cfRule>
  </conditionalFormatting>
  <conditionalFormatting sqref="G36:I36">
    <cfRule type="expression" dxfId="122" priority="7">
      <formula>$F$36&gt;0.04</formula>
    </cfRule>
  </conditionalFormatting>
  <conditionalFormatting sqref="H34:I34">
    <cfRule type="expression" dxfId="119" priority="75">
      <formula>$J$34&lt;0</formula>
    </cfRule>
  </conditionalFormatting>
  <conditionalFormatting sqref="J34">
    <cfRule type="cellIs" dxfId="116" priority="86" stopIfTrue="1" operator="lessThan">
      <formula>0</formula>
    </cfRule>
  </conditionalFormatting>
  <conditionalFormatting sqref="K23">
    <cfRule type="expression" dxfId="114" priority="56">
      <formula>$K$23="N/A"</formula>
    </cfRule>
  </conditionalFormatting>
  <conditionalFormatting sqref="K38">
    <cfRule type="expression" dxfId="113" priority="192">
      <formula>$L$37="No"</formula>
    </cfRule>
  </conditionalFormatting>
  <conditionalFormatting sqref="K14:L17">
    <cfRule type="expression" dxfId="112" priority="55">
      <formula>$K14="YES"</formula>
    </cfRule>
    <cfRule type="expression" dxfId="111" priority="66">
      <formula>$K14="NO"</formula>
    </cfRule>
  </conditionalFormatting>
  <conditionalFormatting sqref="K18:L21">
    <cfRule type="expression" dxfId="110" priority="57">
      <formula>$K$21="N/A"</formula>
    </cfRule>
  </conditionalFormatting>
  <conditionalFormatting sqref="K22:L22 K24:L30">
    <cfRule type="expression" dxfId="109" priority="22">
      <formula>$K22="YES"</formula>
    </cfRule>
    <cfRule type="expression" dxfId="108" priority="23">
      <formula>$K22="NO"</formula>
    </cfRule>
  </conditionalFormatting>
  <conditionalFormatting sqref="L18">
    <cfRule type="expression" dxfId="107" priority="13">
      <formula>$K$18="N/A"</formula>
    </cfRule>
  </conditionalFormatting>
  <conditionalFormatting sqref="L37">
    <cfRule type="cellIs" dxfId="106" priority="87" stopIfTrue="1" operator="equal">
      <formula>"YES"</formula>
    </cfRule>
  </conditionalFormatting>
  <pageMargins left="0.4" right="0.4" top="0.73" bottom="0.79" header="0.5" footer="0.49"/>
  <pageSetup scale="70" orientation="landscape" r:id="rId1"/>
  <headerFooter alignWithMargins="0"/>
  <ignoredErrors>
    <ignoredError sqref="D22:D23 F22" formula="1"/>
  </ignoredErrors>
  <extLst>
    <ext xmlns:x14="http://schemas.microsoft.com/office/spreadsheetml/2009/9/main" uri="{78C0D931-6437-407d-A8EE-F0AAD7539E65}">
      <x14:conditionalFormattings>
        <x14:conditionalFormatting xmlns:xm="http://schemas.microsoft.com/office/excel/2006/main">
          <x14:cfRule type="expression" priority="18" id="{8EFC974D-C4A9-4516-8B16-FB9DE2D29F54}">
            <xm:f>Input!$A$53="N/A"</xm:f>
            <x14:dxf>
              <fill>
                <patternFill>
                  <bgColor theme="1"/>
                </patternFill>
              </fill>
            </x14:dxf>
          </x14:cfRule>
          <xm:sqref>C18:C21</xm:sqref>
        </x14:conditionalFormatting>
        <x14:conditionalFormatting xmlns:xm="http://schemas.microsoft.com/office/excel/2006/main">
          <x14:cfRule type="expression" priority="17" id="{C1F70EAE-11A2-4AAB-B7C5-A2974CA11B6C}">
            <xm:f>Input!$A$53="N/A"</xm:f>
            <x14:dxf>
              <fill>
                <patternFill>
                  <bgColor theme="1"/>
                </patternFill>
              </fill>
            </x14:dxf>
          </x14:cfRule>
          <xm:sqref>C23</xm:sqref>
        </x14:conditionalFormatting>
        <x14:conditionalFormatting xmlns:xm="http://schemas.microsoft.com/office/excel/2006/main">
          <x14:cfRule type="expression" priority="76" id="{AFC2C999-DD89-4C2F-97EF-46D1B224C6D4}">
            <xm:f>Input!$C$19="Yes"</xm:f>
            <x14:dxf>
              <font>
                <color theme="0"/>
              </font>
              <fill>
                <patternFill>
                  <bgColor theme="0"/>
                </patternFill>
              </fill>
              <border>
                <left/>
                <right/>
                <top/>
                <bottom/>
                <vertical/>
                <horizontal/>
              </border>
            </x14:dxf>
          </x14:cfRule>
          <xm:sqref>D33</xm:sqref>
        </x14:conditionalFormatting>
        <x14:conditionalFormatting xmlns:xm="http://schemas.microsoft.com/office/excel/2006/main">
          <x14:cfRule type="expression" priority="68" id="{7CB6334F-FA46-45F7-BE39-DBC48A053A53}">
            <xm:f>Input!$C$19="No"</xm:f>
            <x14:dxf>
              <font>
                <color theme="0"/>
              </font>
              <fill>
                <patternFill>
                  <bgColor theme="0"/>
                </patternFill>
              </fill>
              <border>
                <left/>
                <right/>
                <top/>
                <bottom/>
                <vertical/>
                <horizontal/>
              </border>
            </x14:dxf>
          </x14:cfRule>
          <xm:sqref>F33</xm:sqref>
        </x14:conditionalFormatting>
        <x14:conditionalFormatting xmlns:xm="http://schemas.microsoft.com/office/excel/2006/main">
          <x14:cfRule type="expression" priority="4" id="{583EE103-6C69-46ED-A50D-CBE9198522E6}">
            <xm:f>Input!$C$19="No"</xm:f>
            <x14:dxf>
              <font>
                <color theme="0"/>
              </font>
              <fill>
                <patternFill patternType="none">
                  <bgColor auto="1"/>
                </patternFill>
              </fill>
              <border>
                <left/>
                <right/>
                <top/>
                <bottom/>
                <vertical/>
                <horizontal/>
              </border>
            </x14:dxf>
          </x14:cfRule>
          <xm:sqref>F8:H8</xm:sqref>
        </x14:conditionalFormatting>
        <x14:conditionalFormatting xmlns:xm="http://schemas.microsoft.com/office/excel/2006/main">
          <x14:cfRule type="expression" priority="70" id="{656AB4A6-6A36-44E4-90CE-14540CD05FFC}">
            <xm:f>Input!$C$19="No"</xm:f>
            <x14:dxf>
              <font>
                <color theme="0"/>
              </font>
            </x14:dxf>
          </x14:cfRule>
          <xm:sqref>G2</xm:sqref>
        </x14:conditionalFormatting>
        <x14:conditionalFormatting xmlns:xm="http://schemas.microsoft.com/office/excel/2006/main">
          <x14:cfRule type="expression" priority="69" id="{9A6FF348-BDC9-4975-B2E6-12B961D4AA49}">
            <xm:f>Input!$C$19="Yes"</xm:f>
            <x14:dxf>
              <font>
                <color theme="0"/>
              </font>
              <fill>
                <patternFill>
                  <bgColor theme="0"/>
                </patternFill>
              </fill>
              <border>
                <left style="thin">
                  <color auto="1"/>
                </left>
                <right/>
                <top/>
                <bottom/>
                <vertical/>
                <horizontal/>
              </border>
            </x14:dxf>
          </x14:cfRule>
          <xm:sqref>G33</xm:sqref>
        </x14:conditionalFormatting>
        <x14:conditionalFormatting xmlns:xm="http://schemas.microsoft.com/office/excel/2006/main">
          <x14:cfRule type="expression" priority="24" id="{4EF76B04-FFE1-4582-B749-370F859FD5F0}">
            <xm:f>Input!$C$19="No"</xm:f>
            <x14:dxf>
              <font>
                <color theme="0"/>
              </font>
            </x14:dxf>
          </x14:cfRule>
          <xm:sqref>G41</xm:sqref>
        </x14:conditionalFormatting>
        <x14:conditionalFormatting xmlns:xm="http://schemas.microsoft.com/office/excel/2006/main">
          <x14:cfRule type="expression" priority="71" id="{DB631823-708F-445F-8E75-C725E1CB2553}">
            <xm:f>Input!$C$19="No"</xm:f>
            <x14:dxf>
              <font>
                <color theme="0"/>
              </font>
              <fill>
                <patternFill>
                  <bgColor theme="0"/>
                </patternFill>
              </fill>
              <border>
                <left/>
                <right/>
                <top/>
                <bottom style="thin">
                  <color auto="1"/>
                </bottom>
                <vertical/>
                <horizontal/>
              </border>
            </x14:dxf>
          </x14:cfRule>
          <xm:sqref>H2</xm:sqref>
        </x14:conditionalFormatting>
        <x14:conditionalFormatting xmlns:xm="http://schemas.microsoft.com/office/excel/2006/main">
          <x14:cfRule type="expression" priority="191" id="{00000000-000E-0000-0300-000001000000}">
            <xm:f>#REF!&gt;Input!$C$72</xm:f>
            <x14:dxf>
              <fill>
                <patternFill>
                  <bgColor theme="5" tint="0.59996337778862885"/>
                </patternFill>
              </fill>
            </x14:dxf>
          </x14:cfRule>
          <xm:sqref>H39</xm:sqref>
        </x14:conditionalFormatting>
        <x14:conditionalFormatting xmlns:xm="http://schemas.microsoft.com/office/excel/2006/main">
          <x14:cfRule type="expression" priority="21" id="{8657D7A4-5B7D-4683-8935-5FD64BD09B82}">
            <xm:f>Input!$C$19="No"</xm:f>
            <x14:dxf>
              <font>
                <color theme="0"/>
              </font>
              <fill>
                <patternFill>
                  <bgColor theme="0"/>
                </patternFill>
              </fill>
              <border>
                <left/>
                <right/>
                <top/>
                <bottom/>
                <vertical/>
                <horizontal/>
              </border>
            </x14:dxf>
          </x14:cfRule>
          <xm:sqref>H34:J34</xm:sqref>
        </x14:conditionalFormatting>
        <x14:conditionalFormatting xmlns:xm="http://schemas.microsoft.com/office/excel/2006/main">
          <x14:cfRule type="expression" priority="3" id="{5A6EC9DE-2A97-4C46-A321-892F07FBFA82}">
            <xm:f>Input!$C$19="No"</xm:f>
            <x14:dxf>
              <font>
                <color theme="0"/>
              </font>
            </x14:dxf>
          </x14:cfRule>
          <xm:sqref>I10:I11</xm:sqref>
        </x14:conditionalFormatting>
        <x14:conditionalFormatting xmlns:xm="http://schemas.microsoft.com/office/excel/2006/main">
          <x14:cfRule type="expression" priority="26" id="{A33B5606-87D4-46CB-877A-21F30CD8BA09}">
            <xm:f>Input!$C$19="Yes"</xm:f>
            <x14:dxf>
              <font>
                <color theme="0"/>
              </font>
            </x14:dxf>
          </x14:cfRule>
          <xm:sqref>K13</xm:sqref>
        </x14:conditionalFormatting>
      </x14:conditionalFormatting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6"/>
  <dimension ref="A4:L93"/>
  <sheetViews>
    <sheetView showGridLines="0" workbookViewId="0">
      <selection activeCell="I8" sqref="I8"/>
    </sheetView>
  </sheetViews>
  <sheetFormatPr defaultRowHeight="12.5" x14ac:dyDescent="0.25"/>
  <sheetData>
    <row r="4" spans="1:11" s="36" customFormat="1" ht="18" x14ac:dyDescent="0.4">
      <c r="C4" s="37" t="s">
        <v>17</v>
      </c>
      <c r="D4" s="38"/>
      <c r="E4" s="38"/>
      <c r="F4" s="38"/>
      <c r="G4" s="38"/>
      <c r="H4" s="38"/>
      <c r="I4" s="38"/>
      <c r="J4" s="39"/>
      <c r="K4" s="39"/>
    </row>
    <row r="5" spans="1:11" s="26" customFormat="1" ht="17.5" x14ac:dyDescent="0.35">
      <c r="A5" s="25" t="s">
        <v>25</v>
      </c>
      <c r="C5" s="27"/>
      <c r="E5" s="28"/>
      <c r="F5" s="29"/>
      <c r="H5" s="29"/>
      <c r="I5" s="29"/>
    </row>
    <row r="6" spans="1:11" s="31" customFormat="1" ht="17.5" x14ac:dyDescent="0.35">
      <c r="A6" s="25" t="s">
        <v>18</v>
      </c>
      <c r="B6" s="30"/>
      <c r="C6" s="30"/>
      <c r="D6" s="30"/>
      <c r="E6" s="30"/>
      <c r="F6" s="30"/>
      <c r="G6" s="30"/>
    </row>
    <row r="7" spans="1:11" s="32" customFormat="1" ht="17.5" x14ac:dyDescent="0.35">
      <c r="A7" s="25" t="s">
        <v>19</v>
      </c>
    </row>
    <row r="8" spans="1:11" s="34" customFormat="1" ht="17.5" x14ac:dyDescent="0.35">
      <c r="A8" s="33" t="s">
        <v>21</v>
      </c>
    </row>
    <row r="9" spans="1:11" s="34" customFormat="1" ht="17.5" x14ac:dyDescent="0.35">
      <c r="A9" s="33" t="s">
        <v>22</v>
      </c>
    </row>
    <row r="10" spans="1:11" s="34" customFormat="1" ht="17.5" x14ac:dyDescent="0.35">
      <c r="A10" s="33" t="s">
        <v>23</v>
      </c>
    </row>
    <row r="11" spans="1:11" s="34" customFormat="1" ht="17.5" x14ac:dyDescent="0.35">
      <c r="A11" s="33" t="s">
        <v>20</v>
      </c>
      <c r="C11" s="35"/>
    </row>
    <row r="12" spans="1:11" s="32" customFormat="1" ht="17.5" x14ac:dyDescent="0.35">
      <c r="A12" s="33" t="s">
        <v>24</v>
      </c>
    </row>
    <row r="13" spans="1:11" x14ac:dyDescent="0.25">
      <c r="A13" s="24"/>
    </row>
    <row r="14" spans="1:11" ht="14.5" x14ac:dyDescent="0.25">
      <c r="A14" s="24"/>
      <c r="C14" s="19"/>
    </row>
    <row r="18" spans="3:9" s="36" customFormat="1" ht="18" x14ac:dyDescent="0.4">
      <c r="C18" s="40" t="s">
        <v>11</v>
      </c>
      <c r="D18" s="41"/>
      <c r="E18" s="41"/>
      <c r="F18" s="41"/>
      <c r="G18" s="41"/>
      <c r="H18" s="41"/>
      <c r="I18" s="41"/>
    </row>
    <row r="19" spans="3:9" ht="15.5" x14ac:dyDescent="0.35">
      <c r="C19" s="16" t="s">
        <v>12</v>
      </c>
      <c r="D19" s="17"/>
      <c r="E19" s="17"/>
      <c r="F19" s="17"/>
      <c r="G19" s="17"/>
    </row>
    <row r="28" spans="3:9" ht="14.5" x14ac:dyDescent="0.25">
      <c r="C28" s="20"/>
      <c r="D28" s="21"/>
    </row>
    <row r="29" spans="3:9" ht="14.5" x14ac:dyDescent="0.25">
      <c r="C29" s="20"/>
    </row>
    <row r="30" spans="3:9" ht="14.5" x14ac:dyDescent="0.25">
      <c r="C30" s="20"/>
    </row>
    <row r="31" spans="3:9" ht="14.5" x14ac:dyDescent="0.25">
      <c r="C31" s="20"/>
    </row>
    <row r="32" spans="3:9" ht="14.5" x14ac:dyDescent="0.25">
      <c r="C32" s="20"/>
    </row>
    <row r="33" spans="3:12" ht="14.5" x14ac:dyDescent="0.25">
      <c r="C33" s="20"/>
    </row>
    <row r="34" spans="3:12" ht="14.5" x14ac:dyDescent="0.25">
      <c r="C34" s="20"/>
    </row>
    <row r="44" spans="3:12" ht="15.5" x14ac:dyDescent="0.35">
      <c r="C44" s="22" t="s">
        <v>13</v>
      </c>
      <c r="D44" s="17"/>
      <c r="E44" s="17"/>
      <c r="F44" s="17"/>
      <c r="G44" s="17"/>
      <c r="H44" s="17"/>
      <c r="I44" s="17"/>
      <c r="J44" s="17"/>
      <c r="K44" s="17"/>
      <c r="L44" s="17"/>
    </row>
    <row r="45" spans="3:12" x14ac:dyDescent="0.25">
      <c r="C45" s="18" t="s">
        <v>14</v>
      </c>
    </row>
    <row r="46" spans="3:12" x14ac:dyDescent="0.25">
      <c r="C46" s="18" t="s">
        <v>15</v>
      </c>
    </row>
    <row r="93" spans="3:8" ht="15.5" x14ac:dyDescent="0.35">
      <c r="C93" s="16" t="s">
        <v>16</v>
      </c>
      <c r="D93" s="23"/>
      <c r="E93" s="23"/>
      <c r="F93" s="23"/>
      <c r="G93" s="17"/>
      <c r="H93" s="17"/>
    </row>
  </sheetData>
  <phoneticPr fontId="3" type="noConversion"/>
  <pageMargins left="0.75" right="0.75" top="1" bottom="1" header="0.5" footer="0.5"/>
  <headerFooter alignWithMargins="0"/>
  <drawing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F9C5E3-0188-4831-8AA2-0A3276381A82}">
  <sheetPr>
    <tabColor theme="4" tint="0.79998168889431442"/>
  </sheetPr>
  <dimension ref="A1:AD89"/>
  <sheetViews>
    <sheetView showGridLines="0" workbookViewId="0">
      <selection activeCell="B19" sqref="B19"/>
    </sheetView>
  </sheetViews>
  <sheetFormatPr defaultColWidth="9.08984375" defaultRowHeight="13" zeroHeight="1" x14ac:dyDescent="0.3"/>
  <cols>
    <col min="1" max="1" width="44.90625" style="131" bestFit="1" customWidth="1"/>
    <col min="2" max="2" width="16.54296875" style="131" customWidth="1"/>
    <col min="3" max="4" width="9.08984375" style="131" customWidth="1"/>
    <col min="5" max="5" width="10" style="131" customWidth="1"/>
    <col min="6" max="6" width="10.90625" style="131" customWidth="1"/>
    <col min="7" max="7" width="10" style="131" customWidth="1"/>
    <col min="8" max="8" width="2.90625" style="131" customWidth="1"/>
    <col min="9" max="9" width="13" style="131" customWidth="1"/>
    <col min="10" max="10" width="10.54296875" style="131" customWidth="1"/>
    <col min="11" max="12" width="9.08984375" style="131" customWidth="1"/>
    <col min="13" max="13" width="16.54296875" style="131" customWidth="1"/>
    <col min="14" max="14" width="7.453125" style="131" customWidth="1"/>
    <col min="15" max="15" width="13.6328125" style="131" customWidth="1"/>
    <col min="16" max="16" width="4.90625" style="134" customWidth="1"/>
    <col min="17" max="30" width="9.08984375" style="134" customWidth="1"/>
    <col min="31" max="16384" width="9.08984375" style="131"/>
  </cols>
  <sheetData>
    <row r="1" spans="1:28" ht="15.5" thickBot="1" x14ac:dyDescent="0.35">
      <c r="A1" s="154"/>
      <c r="B1" s="154"/>
      <c r="C1" s="154"/>
      <c r="D1" s="154"/>
      <c r="E1" s="132"/>
      <c r="F1" s="133" t="s">
        <v>32</v>
      </c>
      <c r="G1" s="132"/>
      <c r="H1" s="132"/>
      <c r="I1" s="154"/>
      <c r="J1" s="154"/>
      <c r="K1" s="154"/>
      <c r="L1" s="154"/>
      <c r="M1" s="154"/>
      <c r="N1" s="154"/>
      <c r="O1" s="154"/>
    </row>
    <row r="2" spans="1:28" ht="17.5" x14ac:dyDescent="0.35">
      <c r="A2" s="289" t="str">
        <f>Input!$C$9&amp;" Taxpayer Impact Calculation Page"</f>
        <v>2025 Taxpayer Impact Calculation Page</v>
      </c>
      <c r="B2" s="289"/>
      <c r="C2" s="154"/>
      <c r="D2" s="154"/>
      <c r="E2" s="135"/>
      <c r="F2" s="136" t="s">
        <v>30</v>
      </c>
      <c r="G2" s="137"/>
      <c r="H2" s="132"/>
      <c r="I2" s="154"/>
      <c r="J2" s="154"/>
      <c r="K2" s="154"/>
      <c r="L2" s="154"/>
      <c r="M2" s="154"/>
      <c r="N2" s="154"/>
      <c r="O2" s="154"/>
    </row>
    <row r="3" spans="1:28" x14ac:dyDescent="0.3">
      <c r="A3" s="154"/>
      <c r="B3" s="154"/>
      <c r="C3" s="154"/>
      <c r="D3" s="154"/>
      <c r="E3" s="138"/>
      <c r="F3" s="139" t="s">
        <v>31</v>
      </c>
      <c r="G3" s="140"/>
      <c r="H3" s="132"/>
      <c r="I3" s="154"/>
      <c r="J3" s="154"/>
      <c r="K3" s="154"/>
      <c r="L3" s="154"/>
      <c r="M3" s="154"/>
      <c r="N3" s="154"/>
      <c r="O3" s="154"/>
    </row>
    <row r="4" spans="1:28" ht="15.5" thickBot="1" x14ac:dyDescent="0.35">
      <c r="A4" s="154"/>
      <c r="B4" s="141" t="s">
        <v>128</v>
      </c>
      <c r="C4" s="154"/>
      <c r="D4" s="154"/>
      <c r="E4" s="142"/>
      <c r="F4" s="143" t="s">
        <v>35</v>
      </c>
      <c r="G4" s="144"/>
      <c r="H4" s="132"/>
      <c r="I4" s="154"/>
      <c r="J4" s="154"/>
      <c r="K4" s="154"/>
      <c r="L4" s="154"/>
      <c r="M4" s="145" t="s">
        <v>112</v>
      </c>
      <c r="N4" s="154"/>
      <c r="O4" s="154"/>
    </row>
    <row r="5" spans="1:28" x14ac:dyDescent="0.3">
      <c r="A5" s="154"/>
      <c r="B5" s="154"/>
      <c r="C5" s="154"/>
      <c r="D5" s="154"/>
      <c r="E5" s="154"/>
      <c r="F5" s="154"/>
      <c r="G5" s="154"/>
      <c r="H5" s="154"/>
      <c r="I5" s="154"/>
      <c r="J5" s="154"/>
      <c r="K5" s="154"/>
      <c r="L5" s="154"/>
      <c r="M5" s="154"/>
      <c r="N5" s="154"/>
      <c r="O5" s="154"/>
    </row>
    <row r="6" spans="1:28" ht="15" x14ac:dyDescent="0.3">
      <c r="A6" s="141" t="str">
        <f>Input!B35</f>
        <v xml:space="preserve">Estimated Existing EAV % Change for 2025 </v>
      </c>
      <c r="B6" s="146">
        <f>Calculations!$H$5</f>
        <v>0</v>
      </c>
      <c r="C6" s="154"/>
      <c r="D6" s="154"/>
      <c r="E6" s="154"/>
      <c r="F6" s="154"/>
      <c r="G6" s="154"/>
      <c r="H6" s="154"/>
      <c r="I6" s="154"/>
      <c r="J6" s="154"/>
      <c r="K6" s="154"/>
      <c r="L6" s="147" t="str">
        <f>(Input!$C$9-1)&amp; " Fair Cash / Market Value Home"</f>
        <v>2024 Fair Cash / Market Value Home</v>
      </c>
      <c r="M6" s="148"/>
      <c r="Q6" s="149"/>
    </row>
    <row r="7" spans="1:28" ht="15" x14ac:dyDescent="0.3">
      <c r="A7" s="141" t="str">
        <f>"Estimated Existing EAV Value for "&amp; Input!C9&amp;" "</f>
        <v xml:space="preserve">Estimated Existing EAV Value for 2025 </v>
      </c>
      <c r="B7" s="151">
        <f>Calculations!$H$6</f>
        <v>0</v>
      </c>
      <c r="C7" s="154"/>
      <c r="D7" s="154"/>
      <c r="E7" s="154"/>
      <c r="F7" s="154"/>
      <c r="G7" s="154"/>
      <c r="H7" s="154"/>
      <c r="I7" s="154"/>
      <c r="J7" s="154"/>
      <c r="K7" s="154"/>
      <c r="L7" s="147"/>
      <c r="M7" s="147"/>
      <c r="N7" s="154"/>
      <c r="O7" s="154"/>
      <c r="Q7" s="149"/>
      <c r="X7" s="150"/>
      <c r="Y7" s="150"/>
      <c r="Z7" s="150">
        <v>3.0163000000000002</v>
      </c>
      <c r="AA7" s="150"/>
      <c r="AB7" s="150" t="s">
        <v>113</v>
      </c>
    </row>
    <row r="8" spans="1:28" ht="15" x14ac:dyDescent="0.3">
      <c r="A8" s="152"/>
      <c r="B8" s="153"/>
      <c r="C8" s="154"/>
      <c r="D8" s="154"/>
      <c r="E8" s="154"/>
      <c r="F8" s="154"/>
      <c r="G8" s="154"/>
      <c r="H8" s="154"/>
      <c r="I8" s="154"/>
      <c r="J8" s="154"/>
      <c r="K8" s="154"/>
      <c r="L8" s="147" t="str">
        <f>"Estimated "&amp;Input!C9&amp;" Fair Cash Value Home"</f>
        <v>Estimated 2025 Fair Cash Value Home</v>
      </c>
      <c r="M8" s="151">
        <f>M6*(1+B6)</f>
        <v>0</v>
      </c>
      <c r="N8" s="155" t="s">
        <v>114</v>
      </c>
      <c r="O8" s="154"/>
      <c r="Q8" s="149"/>
      <c r="X8" s="150" t="s">
        <v>105</v>
      </c>
      <c r="Y8" s="156">
        <v>0.1</v>
      </c>
      <c r="Z8" s="150">
        <v>3.0354999999999999</v>
      </c>
      <c r="AA8" s="150">
        <v>10000</v>
      </c>
      <c r="AB8" s="150"/>
    </row>
    <row r="9" spans="1:28" ht="15" x14ac:dyDescent="0.3">
      <c r="A9" s="141" t="str">
        <f>Input!B39</f>
        <v xml:space="preserve">Estimated New Property for 2025 </v>
      </c>
      <c r="B9" s="151">
        <f>Calculations!$H$8</f>
        <v>0</v>
      </c>
      <c r="C9" s="154"/>
      <c r="D9" s="154"/>
      <c r="E9" s="154"/>
      <c r="F9" s="154"/>
      <c r="G9" s="154"/>
      <c r="H9" s="154"/>
      <c r="I9" s="154"/>
      <c r="J9" s="154"/>
      <c r="K9" s="154"/>
      <c r="L9" s="147"/>
      <c r="M9" s="147"/>
      <c r="N9" s="155"/>
      <c r="O9" s="154"/>
      <c r="Q9" s="149"/>
      <c r="X9" s="150" t="s">
        <v>107</v>
      </c>
      <c r="Y9" s="156">
        <f>((1/3)*100)%</f>
        <v>0.33333333333333326</v>
      </c>
      <c r="Z9" s="150">
        <v>1</v>
      </c>
      <c r="AA9" s="150">
        <v>8000</v>
      </c>
      <c r="AB9" s="150"/>
    </row>
    <row r="10" spans="1:28" ht="15" hidden="1" x14ac:dyDescent="0.3">
      <c r="A10" s="141"/>
      <c r="B10" s="151"/>
      <c r="C10" s="154"/>
      <c r="D10" s="154"/>
      <c r="E10" s="154"/>
      <c r="F10" s="154"/>
      <c r="G10" s="154"/>
      <c r="H10" s="154"/>
      <c r="I10" s="154"/>
      <c r="J10" s="154"/>
      <c r="K10" s="154"/>
      <c r="L10" s="147"/>
      <c r="M10" s="147"/>
      <c r="N10" s="155"/>
      <c r="O10" s="154"/>
      <c r="Q10" s="149"/>
      <c r="X10" s="150"/>
      <c r="Y10" s="156"/>
      <c r="Z10" s="150"/>
      <c r="AA10" s="150"/>
      <c r="AB10" s="150"/>
    </row>
    <row r="11" spans="1:28" ht="15" x14ac:dyDescent="0.3">
      <c r="A11" s="141" t="str">
        <f>Input!B41</f>
        <v xml:space="preserve">Estimated Total EAV for 2025 </v>
      </c>
      <c r="B11" s="151">
        <f>B7+B9</f>
        <v>0</v>
      </c>
      <c r="C11" s="155" t="s">
        <v>36</v>
      </c>
      <c r="D11" s="154"/>
      <c r="E11" s="154"/>
      <c r="F11" s="154"/>
      <c r="G11" s="154"/>
      <c r="H11" s="154"/>
      <c r="I11" s="154"/>
      <c r="J11" s="154"/>
      <c r="K11" s="154"/>
      <c r="L11" s="147" t="s">
        <v>115</v>
      </c>
      <c r="M11" s="151">
        <f>M8*N11</f>
        <v>0</v>
      </c>
      <c r="N11" s="157">
        <f>IF(Input!$C$13="Cook",'Tax Calculator - Calculations'!Y8,'Tax Calculator - Calculations'!Y9)</f>
        <v>0.33333333333333326</v>
      </c>
      <c r="O11" s="154"/>
      <c r="X11" s="150" t="s">
        <v>110</v>
      </c>
      <c r="Y11" s="156"/>
      <c r="Z11" s="150"/>
      <c r="AA11" s="150">
        <v>8000</v>
      </c>
      <c r="AB11" s="150"/>
    </row>
    <row r="12" spans="1:28" ht="15.75" customHeight="1" x14ac:dyDescent="0.3">
      <c r="A12" s="154"/>
      <c r="B12" s="154"/>
      <c r="C12" s="154"/>
      <c r="D12" s="154"/>
      <c r="E12" s="154"/>
      <c r="F12" s="154"/>
      <c r="G12" s="154"/>
      <c r="H12" s="154"/>
      <c r="I12" s="154"/>
      <c r="J12" s="154"/>
      <c r="K12" s="154"/>
      <c r="L12" s="147" t="s">
        <v>116</v>
      </c>
      <c r="M12" s="151">
        <f>M11*N12</f>
        <v>0</v>
      </c>
      <c r="N12" s="158">
        <f>IF(Input!$C$13="Cook",'Tax Calculator - Calculations'!Z8,'Tax Calculator - Calculations'!Z9)</f>
        <v>1</v>
      </c>
      <c r="O12" s="154"/>
      <c r="X12" s="150" t="s">
        <v>117</v>
      </c>
      <c r="Y12" s="156"/>
      <c r="Z12" s="150"/>
      <c r="AA12" s="150">
        <v>8000</v>
      </c>
      <c r="AB12" s="150"/>
    </row>
    <row r="13" spans="1:28" ht="15" x14ac:dyDescent="0.3">
      <c r="A13" s="147" t="str">
        <f>Input!$C$9-1&amp;" Operating Rate"</f>
        <v>2024 Operating Rate</v>
      </c>
      <c r="B13" s="159" t="e">
        <f>(Input!D69/Input!C31)*100</f>
        <v>#DIV/0!</v>
      </c>
      <c r="C13" s="154"/>
      <c r="D13" s="154"/>
      <c r="E13" s="154"/>
      <c r="F13" s="154"/>
      <c r="G13" s="154"/>
      <c r="H13" s="154"/>
      <c r="I13" s="154"/>
      <c r="J13" s="154"/>
      <c r="K13" s="154"/>
      <c r="L13" s="154"/>
      <c r="M13" s="154"/>
      <c r="N13" s="154"/>
      <c r="O13" s="154"/>
      <c r="X13" s="150" t="s">
        <v>118</v>
      </c>
      <c r="Y13" s="156"/>
      <c r="Z13" s="150"/>
      <c r="AA13" s="150">
        <v>8000</v>
      </c>
      <c r="AB13" s="150"/>
    </row>
    <row r="14" spans="1:28" ht="15" x14ac:dyDescent="0.3">
      <c r="A14" s="147" t="str">
        <f>"Estimated "&amp;Input!$C$9&amp;" Operating Rate"</f>
        <v>Estimated 2025 Operating Rate</v>
      </c>
      <c r="B14" s="159" t="e">
        <f>IF(Input!C19="Yes",IF(Calculations!J33/'Tax Calculator - Calculations'!B11*100&gt;Calculations!B9,Calculations!B9,Calculations!J33/'Tax Calculator - Calculations'!B11*100),(IF(Calculations!J14&gt;Calculations!F14,Calculations!F14,Calculations!J14)+IF(Calculations!J15&gt;Calculations!F15,Calculations!F15,Calculations!J15)+IF(Calculations!J16&gt;Calculations!F16,Calculations!F16,Calculations!J16)+IF(Calculations!J17&gt;Calculations!F17,Calculations!F17,Calculations!J17)+IF(Calculations!J22&gt;Calculations!F22,Calculations!F22,Calculations!J22)+IF(Calculations!J24&gt;Calculations!F24,Calculations!F24,Calculations!J24)+IF(Calculations!J25&gt;Calculations!F25,Calculations!F25,Calculations!J25)+IF(Calculations!J28&gt;Calculations!F28,Calculations!F28,Calculations!J28)+IF(Calculations!J29&gt;Calculations!F29,Calculations!F29,Calculations!J29)+IF(Calculations!J30&gt;Calculations!F30,Calculations!F30,Calculations!J30)+Calculations!J18+Calculations!J19+Calculations!J20+Calculations!J21+Calculations!J23)/B11*100)</f>
        <v>#DIV/0!</v>
      </c>
      <c r="C14" s="223"/>
      <c r="D14" s="154"/>
      <c r="E14" s="154"/>
      <c r="F14" s="154"/>
      <c r="G14" s="154"/>
      <c r="H14" s="154"/>
      <c r="I14" s="154"/>
      <c r="J14" s="154"/>
      <c r="K14" s="11"/>
      <c r="L14" s="11"/>
      <c r="M14" s="11"/>
      <c r="N14" s="290" t="s">
        <v>119</v>
      </c>
      <c r="O14" s="290"/>
      <c r="P14" s="161"/>
      <c r="X14" s="150" t="s">
        <v>106</v>
      </c>
      <c r="Y14" s="156"/>
      <c r="Z14" s="150"/>
      <c r="AA14" s="150">
        <v>8000</v>
      </c>
      <c r="AB14" s="150"/>
    </row>
    <row r="15" spans="1:28" ht="15.75" customHeight="1" thickBot="1" x14ac:dyDescent="0.35">
      <c r="A15" s="147" t="str">
        <f>"Estimated "&amp;Input!C9&amp;" Bond &amp; Interest Tax Rate"</f>
        <v>Estimated 2025 Bond &amp; Interest Tax Rate</v>
      </c>
      <c r="B15" s="159" t="e">
        <f>((Calculations!G42*(1+B17)/B11*100)+0.0000001)</f>
        <v>#DIV/0!</v>
      </c>
      <c r="C15" s="155" t="s">
        <v>120</v>
      </c>
      <c r="D15" s="154"/>
      <c r="E15" s="154"/>
      <c r="F15" s="154"/>
      <c r="G15" s="154"/>
      <c r="H15" s="154"/>
      <c r="I15" s="154"/>
      <c r="J15" s="154"/>
      <c r="K15" s="154"/>
      <c r="L15" s="147" t="s">
        <v>150</v>
      </c>
      <c r="M15" s="160">
        <f>IF(Input!$C$13="Cook",'Tax Calculator - Calculations'!AA8,IF(Input!$C$13="DuPage",'Tax Calculator - Calculations'!AA9,IF(Input!C13="Lake",'Tax Calculator - Calculations'!AA11,IF(Input!C13="McHenry",'Tax Calculator - Calculations'!AA12,IF(Input!C13="Kane",'Tax Calculator - Calculations'!AA13,IF(Input!C13="Will",'Tax Calculator - Calculations'!AA14,AA15))))))</f>
        <v>6000</v>
      </c>
      <c r="N15" s="290"/>
      <c r="O15" s="290"/>
      <c r="P15" s="161"/>
      <c r="X15" s="150"/>
      <c r="Y15" s="150"/>
      <c r="Z15" s="150"/>
      <c r="AA15" s="150">
        <v>6000</v>
      </c>
      <c r="AB15" s="150"/>
    </row>
    <row r="16" spans="1:28" ht="16.25" customHeight="1" x14ac:dyDescent="0.3">
      <c r="A16" s="147"/>
      <c r="B16" s="147"/>
      <c r="C16" s="167"/>
      <c r="D16" s="167"/>
      <c r="E16" s="291" t="s">
        <v>129</v>
      </c>
      <c r="F16" s="292"/>
      <c r="G16" s="293"/>
      <c r="I16" s="154"/>
      <c r="J16" s="154"/>
      <c r="K16" s="154"/>
      <c r="L16" s="154"/>
      <c r="M16" s="154"/>
      <c r="N16" s="162"/>
      <c r="O16" s="162"/>
    </row>
    <row r="17" spans="1:15" ht="16.25" customHeight="1" x14ac:dyDescent="0.3">
      <c r="A17" s="147" t="s">
        <v>121</v>
      </c>
      <c r="B17" s="163"/>
      <c r="D17" s="167"/>
      <c r="E17" s="294"/>
      <c r="F17" s="295"/>
      <c r="G17" s="296"/>
      <c r="I17" s="154"/>
      <c r="J17" s="154"/>
      <c r="K17" s="154"/>
      <c r="L17" s="147" t="s">
        <v>122</v>
      </c>
      <c r="M17" s="160">
        <f>M12-M15</f>
        <v>-6000</v>
      </c>
      <c r="N17" s="164"/>
      <c r="O17" s="165"/>
    </row>
    <row r="18" spans="1:15" ht="16.25" customHeight="1" thickBot="1" x14ac:dyDescent="0.35">
      <c r="A18" s="154"/>
      <c r="E18" s="297"/>
      <c r="F18" s="298"/>
      <c r="G18" s="299"/>
      <c r="I18" s="154"/>
      <c r="J18" s="154"/>
      <c r="K18" s="154"/>
      <c r="L18" s="154"/>
      <c r="M18" s="154"/>
      <c r="N18" s="154"/>
      <c r="O18" s="154"/>
    </row>
    <row r="19" spans="1:15" ht="15" x14ac:dyDescent="0.3">
      <c r="A19" s="147" t="s">
        <v>123</v>
      </c>
      <c r="B19" s="166"/>
      <c r="C19" s="167" t="s">
        <v>124</v>
      </c>
      <c r="D19" s="154"/>
      <c r="E19" s="154"/>
      <c r="F19" s="154"/>
      <c r="G19" s="154"/>
      <c r="H19" s="154"/>
      <c r="I19" s="154"/>
      <c r="J19" s="154"/>
      <c r="K19" s="154"/>
      <c r="L19" s="147" t="str">
        <f>"Estimated Change in Tax Payment for "&amp; Input!C9</f>
        <v>Estimated Change in Tax Payment for 2025</v>
      </c>
      <c r="M19" s="160" t="e">
        <f>(M17*(B27)/100)-(((((M6*N11)*IF(Input!C13="Cook",Z7,Z9))-M15)*(B28)/100))</f>
        <v>#DIV/0!</v>
      </c>
      <c r="N19" s="154"/>
      <c r="O19" s="154"/>
    </row>
    <row r="20" spans="1:15" ht="15" x14ac:dyDescent="0.3">
      <c r="A20" s="147" t="s">
        <v>125</v>
      </c>
      <c r="B20" s="159" t="e">
        <f>((B19*(1+B17))/B11*100)</f>
        <v>#DIV/0!</v>
      </c>
      <c r="C20" s="167" t="s">
        <v>126</v>
      </c>
      <c r="D20" s="154"/>
      <c r="E20" s="154"/>
      <c r="F20" s="154"/>
      <c r="G20" s="154"/>
      <c r="H20" s="154"/>
      <c r="I20" s="154"/>
      <c r="J20" s="154"/>
      <c r="K20" s="154"/>
      <c r="L20" s="154"/>
      <c r="M20" s="154"/>
      <c r="N20" s="154"/>
      <c r="O20" s="154"/>
    </row>
    <row r="21" spans="1:15" ht="15.75" customHeight="1" x14ac:dyDescent="0.3">
      <c r="A21" s="147"/>
      <c r="B21" s="147"/>
      <c r="C21" s="167"/>
      <c r="D21" s="154"/>
      <c r="E21" s="154"/>
      <c r="F21" s="154"/>
      <c r="G21" s="154"/>
      <c r="H21" s="154"/>
      <c r="I21" s="168" t="str">
        <f>"Note, the calculator is intended to estimate the "&amp;Input!C11&amp;" portion of the tax bill."</f>
        <v>Note, the calculator is intended to estimate the  portion of the tax bill.</v>
      </c>
      <c r="J21" s="168"/>
      <c r="K21" s="168"/>
      <c r="L21" s="168"/>
      <c r="M21" s="168"/>
      <c r="N21" s="168"/>
      <c r="O21" s="154"/>
    </row>
    <row r="22" spans="1:15" ht="15.75" customHeight="1" x14ac:dyDescent="0.3">
      <c r="A22" s="147" t="str">
        <f>"Net "&amp;Input!$C$9&amp;" B&amp;I Tax Rate"</f>
        <v>Net 2025 B&amp;I Tax Rate</v>
      </c>
      <c r="B22" s="159" t="e">
        <f>(IF(B15&gt;B20,B15-B20,"Check Abatement"))</f>
        <v>#DIV/0!</v>
      </c>
      <c r="C22" s="154"/>
      <c r="D22" s="154"/>
      <c r="E22" s="154"/>
      <c r="F22" s="154"/>
      <c r="G22" s="154"/>
      <c r="H22" s="154"/>
      <c r="I22" s="300" t="s">
        <v>160</v>
      </c>
      <c r="J22" s="300"/>
      <c r="K22" s="300"/>
      <c r="L22" s="300"/>
      <c r="M22" s="300"/>
      <c r="N22" s="300"/>
      <c r="O22" s="300"/>
    </row>
    <row r="23" spans="1:15" ht="18.75" customHeight="1" x14ac:dyDescent="0.3">
      <c r="A23" s="147"/>
      <c r="B23" s="147"/>
      <c r="C23" s="167"/>
      <c r="D23" s="154"/>
      <c r="E23" s="154"/>
      <c r="F23" s="154"/>
      <c r="G23" s="154"/>
      <c r="H23" s="154"/>
      <c r="I23" s="300"/>
      <c r="J23" s="300"/>
      <c r="K23" s="300"/>
      <c r="L23" s="300"/>
      <c r="M23" s="300"/>
      <c r="N23" s="300"/>
      <c r="O23" s="300"/>
    </row>
    <row r="24" spans="1:15" s="134" customFormat="1" ht="16.5" customHeight="1" x14ac:dyDescent="0.3">
      <c r="A24" s="141" t="s">
        <v>130</v>
      </c>
      <c r="B24" s="159" t="e">
        <f>MIN((Calculations!F37),Calculations!G37)/'Tax Calculator - Calculations'!$B$11*100</f>
        <v>#DIV/0!</v>
      </c>
      <c r="C24" s="167"/>
      <c r="D24" s="154"/>
      <c r="E24" s="154"/>
      <c r="F24" s="154"/>
      <c r="G24" s="154"/>
      <c r="H24" s="154"/>
      <c r="I24" s="300"/>
      <c r="J24" s="300"/>
      <c r="K24" s="300"/>
      <c r="L24" s="300"/>
      <c r="M24" s="300"/>
      <c r="N24" s="300"/>
      <c r="O24" s="300"/>
    </row>
    <row r="25" spans="1:15" s="134" customFormat="1" ht="16.5" customHeight="1" x14ac:dyDescent="0.3">
      <c r="A25" s="191" t="s">
        <v>131</v>
      </c>
      <c r="B25" s="225" t="e">
        <f>MIN((Calculations!F40),Calculations!G40)/'Tax Calculator - Calculations'!$B$11*100</f>
        <v>#DIV/0!</v>
      </c>
      <c r="C25" s="167"/>
      <c r="D25" s="154"/>
      <c r="E25" s="154"/>
      <c r="F25" s="154"/>
      <c r="G25" s="154"/>
      <c r="H25" s="154"/>
      <c r="I25" s="168"/>
      <c r="J25" s="168"/>
      <c r="K25" s="168"/>
      <c r="L25" s="168"/>
      <c r="M25" s="168"/>
      <c r="N25" s="168"/>
      <c r="O25" s="168"/>
    </row>
    <row r="26" spans="1:15" s="134" customFormat="1" x14ac:dyDescent="0.3">
      <c r="A26" s="154"/>
      <c r="B26" s="170"/>
      <c r="C26" s="154"/>
      <c r="D26" s="154"/>
      <c r="E26" s="154"/>
      <c r="F26" s="154"/>
      <c r="G26" s="154"/>
      <c r="H26" s="154"/>
      <c r="I26" s="168"/>
      <c r="J26" s="168"/>
      <c r="K26" s="168"/>
      <c r="L26" s="168"/>
      <c r="M26" s="168"/>
      <c r="N26" s="168"/>
      <c r="O26" s="168"/>
    </row>
    <row r="27" spans="1:15" s="134" customFormat="1" ht="15" x14ac:dyDescent="0.3">
      <c r="A27" s="147" t="str">
        <f>"Total "&amp;Input!$C$9&amp;" Tax Rate"</f>
        <v>Total 2025 Tax Rate</v>
      </c>
      <c r="B27" s="159" t="e">
        <f>B22+B14+B24+B25</f>
        <v>#DIV/0!</v>
      </c>
      <c r="C27" s="154"/>
      <c r="D27" s="154"/>
      <c r="E27" s="154"/>
      <c r="F27" s="154"/>
      <c r="G27" s="154"/>
      <c r="H27" s="154"/>
      <c r="I27" s="168"/>
      <c r="J27" s="168"/>
      <c r="K27" s="168"/>
      <c r="L27" s="168"/>
      <c r="M27" s="168"/>
      <c r="N27" s="168"/>
      <c r="O27" s="168"/>
    </row>
    <row r="28" spans="1:15" s="134" customFormat="1" ht="15" x14ac:dyDescent="0.3">
      <c r="A28" s="147" t="s">
        <v>127</v>
      </c>
      <c r="B28" s="159" t="e">
        <f>Input!D77/Input!C31*100</f>
        <v>#DIV/0!</v>
      </c>
      <c r="C28" s="154"/>
      <c r="D28" s="154"/>
      <c r="E28" s="154"/>
      <c r="F28" s="154"/>
      <c r="G28" s="154"/>
      <c r="H28" s="154"/>
      <c r="I28" s="172"/>
      <c r="J28" s="172"/>
      <c r="K28" s="172"/>
      <c r="L28" s="172"/>
      <c r="M28" s="172"/>
      <c r="N28" s="172"/>
      <c r="O28" s="169"/>
    </row>
    <row r="29" spans="1:15" s="134" customFormat="1" ht="15" x14ac:dyDescent="0.3">
      <c r="A29" s="147"/>
      <c r="B29" s="147"/>
      <c r="C29" s="154"/>
      <c r="D29" s="154"/>
      <c r="E29" s="154"/>
      <c r="F29" s="154"/>
      <c r="G29" s="154"/>
      <c r="H29" s="154"/>
      <c r="I29" s="172"/>
      <c r="J29" s="172"/>
      <c r="K29" s="172"/>
      <c r="L29" s="172"/>
      <c r="M29" s="172"/>
      <c r="N29" s="172"/>
      <c r="O29" s="169"/>
    </row>
    <row r="30" spans="1:15" s="134" customFormat="1" hidden="1" x14ac:dyDescent="0.3"/>
    <row r="31" spans="1:15" s="134" customFormat="1" hidden="1" x14ac:dyDescent="0.3"/>
    <row r="32" spans="1:15" s="134" customFormat="1" hidden="1" x14ac:dyDescent="0.3"/>
    <row r="33" s="134" customFormat="1" hidden="1" x14ac:dyDescent="0.3"/>
    <row r="34" s="134" customFormat="1" hidden="1" x14ac:dyDescent="0.3"/>
    <row r="35" s="134" customFormat="1" hidden="1" x14ac:dyDescent="0.3"/>
    <row r="36" s="134" customFormat="1" hidden="1" x14ac:dyDescent="0.3"/>
    <row r="37" s="134" customFormat="1" hidden="1" x14ac:dyDescent="0.3"/>
    <row r="38" s="134" customFormat="1" hidden="1" x14ac:dyDescent="0.3"/>
    <row r="39" s="134" customFormat="1" hidden="1" x14ac:dyDescent="0.3"/>
    <row r="40" s="134" customFormat="1" hidden="1" x14ac:dyDescent="0.3"/>
    <row r="41" s="134" customFormat="1" hidden="1" x14ac:dyDescent="0.3"/>
    <row r="42" s="134" customFormat="1" hidden="1" x14ac:dyDescent="0.3"/>
    <row r="43" s="134" customFormat="1" hidden="1" x14ac:dyDescent="0.3"/>
    <row r="44" s="134" customFormat="1" hidden="1" x14ac:dyDescent="0.3"/>
    <row r="45" s="134" customFormat="1" hidden="1" x14ac:dyDescent="0.3"/>
    <row r="46" s="134" customFormat="1" hidden="1" x14ac:dyDescent="0.3"/>
    <row r="47" s="134" customFormat="1" hidden="1" x14ac:dyDescent="0.3"/>
    <row r="48" s="134" customFormat="1" hidden="1" x14ac:dyDescent="0.3"/>
    <row r="49" s="134" customFormat="1" hidden="1" x14ac:dyDescent="0.3"/>
    <row r="50" s="134" customFormat="1" hidden="1" x14ac:dyDescent="0.3"/>
    <row r="51" s="134" customFormat="1" hidden="1" x14ac:dyDescent="0.3"/>
    <row r="52" s="134" customFormat="1" hidden="1" x14ac:dyDescent="0.3"/>
    <row r="53" s="134" customFormat="1" hidden="1" x14ac:dyDescent="0.3"/>
    <row r="54" s="134" customFormat="1" hidden="1" x14ac:dyDescent="0.3"/>
    <row r="55" s="134" customFormat="1" hidden="1" x14ac:dyDescent="0.3"/>
    <row r="56" s="134" customFormat="1" hidden="1" x14ac:dyDescent="0.3"/>
    <row r="57" s="134" customFormat="1" hidden="1" x14ac:dyDescent="0.3"/>
    <row r="58" s="134" customFormat="1" hidden="1" x14ac:dyDescent="0.3"/>
    <row r="59" s="134" customFormat="1" hidden="1" x14ac:dyDescent="0.3"/>
    <row r="60" s="134" customFormat="1" hidden="1" x14ac:dyDescent="0.3"/>
    <row r="61" s="134" customFormat="1" hidden="1" x14ac:dyDescent="0.3"/>
    <row r="62" s="134" customFormat="1" hidden="1" x14ac:dyDescent="0.3"/>
    <row r="63" s="134" customFormat="1" hidden="1" x14ac:dyDescent="0.3"/>
    <row r="64" s="134" customFormat="1" hidden="1" x14ac:dyDescent="0.3"/>
    <row r="65" s="134" customFormat="1" hidden="1" x14ac:dyDescent="0.3"/>
    <row r="66" s="134" customFormat="1" hidden="1" x14ac:dyDescent="0.3"/>
    <row r="67" s="134" customFormat="1" hidden="1" x14ac:dyDescent="0.3"/>
    <row r="68" s="134" customFormat="1" hidden="1" x14ac:dyDescent="0.3"/>
    <row r="69" s="134" customFormat="1" hidden="1" x14ac:dyDescent="0.3"/>
    <row r="70" s="134" customFormat="1" hidden="1" x14ac:dyDescent="0.3"/>
    <row r="71" s="134" customFormat="1" hidden="1" x14ac:dyDescent="0.3"/>
    <row r="72" s="134" customFormat="1" hidden="1" x14ac:dyDescent="0.3"/>
    <row r="73" s="134" customFormat="1" hidden="1" x14ac:dyDescent="0.3"/>
    <row r="74" s="134" customFormat="1" hidden="1" x14ac:dyDescent="0.3"/>
    <row r="75" s="134" customFormat="1" hidden="1" x14ac:dyDescent="0.3"/>
    <row r="76" s="134" customFormat="1" hidden="1" x14ac:dyDescent="0.3"/>
    <row r="77" s="134" customFormat="1" hidden="1" x14ac:dyDescent="0.3"/>
    <row r="78" s="134" customFormat="1" hidden="1" x14ac:dyDescent="0.3"/>
    <row r="79" s="134" customFormat="1" hidden="1" x14ac:dyDescent="0.3"/>
    <row r="80" s="134" customFormat="1" hidden="1" x14ac:dyDescent="0.3"/>
    <row r="81" spans="1:8" s="134" customFormat="1" hidden="1" x14ac:dyDescent="0.3"/>
    <row r="82" spans="1:8" s="134" customFormat="1" hidden="1" x14ac:dyDescent="0.3"/>
    <row r="83" spans="1:8" s="134" customFormat="1" hidden="1" x14ac:dyDescent="0.3"/>
    <row r="84" spans="1:8" s="134" customFormat="1" hidden="1" x14ac:dyDescent="0.3"/>
    <row r="85" spans="1:8" s="134" customFormat="1" hidden="1" x14ac:dyDescent="0.3"/>
    <row r="86" spans="1:8" s="134" customFormat="1" hidden="1" x14ac:dyDescent="0.3"/>
    <row r="87" spans="1:8" s="134" customFormat="1" hidden="1" x14ac:dyDescent="0.3"/>
    <row r="88" spans="1:8" s="134" customFormat="1" hidden="1" x14ac:dyDescent="0.3">
      <c r="D88" s="131"/>
      <c r="E88" s="131"/>
      <c r="F88" s="131"/>
      <c r="G88" s="131"/>
      <c r="H88" s="131"/>
    </row>
    <row r="89" spans="1:8" s="134" customFormat="1" hidden="1" x14ac:dyDescent="0.3">
      <c r="A89" s="131"/>
      <c r="B89" s="131"/>
      <c r="C89" s="131"/>
      <c r="D89" s="131"/>
      <c r="E89" s="131"/>
      <c r="F89" s="131"/>
      <c r="G89" s="131"/>
      <c r="H89" s="131"/>
    </row>
  </sheetData>
  <sheetProtection algorithmName="SHA-512" hashValue="UWqJH/xbFHLkrZj1mGjbWk4MEeG5siLvTRsXhYqXQ2/3JubO7lRMyeycxCV2pBWrm8cU16DqbipsEdyQ5L35Rw==" saltValue="zTb3y9kUdfMwBIKoidHV6g==" spinCount="100000" sheet="1" objects="1" scenarios="1"/>
  <mergeCells count="4">
    <mergeCell ref="A2:B2"/>
    <mergeCell ref="N14:O15"/>
    <mergeCell ref="E16:G18"/>
    <mergeCell ref="I22:O24"/>
  </mergeCells>
  <conditionalFormatting sqref="L6:L12 M7 M9:M10 A13:A17 L15 B16 L17 A19:A23 B21 B23 A27:A29 B29">
    <cfRule type="expression" dxfId="102" priority="5" stopIfTrue="1">
      <formula>$B$20="N/A"</formula>
    </cfRule>
  </conditionalFormatting>
  <conditionalFormatting sqref="L19">
    <cfRule type="expression" dxfId="101" priority="4" stopIfTrue="1">
      <formula>$B$20="N/A"</formula>
    </cfRule>
  </conditionalFormatting>
  <pageMargins left="0.7" right="0.7" top="0.75" bottom="0.75" header="0.3" footer="0.3"/>
  <pageSetup orientation="portrait" horizontalDpi="200" verticalDpi="200" r:id="rId1"/>
  <drawing r:id="rId2"/>
  <extLst>
    <ext xmlns:x14="http://schemas.microsoft.com/office/spreadsheetml/2009/9/main" uri="{78C0D931-6437-407d-A8EE-F0AAD7539E65}">
      <x14:conditionalFormattings>
        <x14:conditionalFormatting xmlns:xm="http://schemas.microsoft.com/office/excel/2006/main">
          <x14:cfRule type="expression" priority="2" id="{ADAF7A57-971A-4D68-8319-0805FCB96400}">
            <xm:f>Input!$C$19="No"</xm:f>
            <x14:dxf>
              <font>
                <color theme="0"/>
              </font>
              <fill>
                <patternFill patternType="none">
                  <bgColor auto="1"/>
                </patternFill>
              </fill>
              <border>
                <left/>
                <right/>
                <top/>
                <bottom/>
                <vertical/>
                <horizontal/>
              </border>
            </x14:dxf>
          </x14:cfRule>
          <xm:sqref>A9:B9</xm:sqref>
        </x14:conditionalFormatting>
        <x14:conditionalFormatting xmlns:xm="http://schemas.microsoft.com/office/excel/2006/main">
          <x14:cfRule type="cellIs" priority="3" operator="between" id="{E710366F-7F98-42B1-AEBA-AC4B51B100BE}">
            <xm:f>0</xm:f>
            <xm:f>Calculations!$G$42</xm:f>
            <x14:dxf>
              <fill>
                <patternFill>
                  <bgColor rgb="FFCCFFCC"/>
                </patternFill>
              </fill>
            </x14:dxf>
          </x14:cfRule>
          <xm:sqref>B19</xm:sqref>
        </x14:conditionalFormatting>
        <x14:conditionalFormatting xmlns:xm="http://schemas.microsoft.com/office/excel/2006/main">
          <x14:cfRule type="expression" priority="1" id="{94AD9BF5-8701-460B-80CC-93248CC0D066}">
            <xm:f>Input!$C$19="No"</xm:f>
            <x14:dxf>
              <font>
                <color theme="0"/>
              </font>
            </x14:dxf>
          </x14:cfRule>
          <xm:sqref>C11</xm:sqref>
        </x14:conditionalFormatting>
      </x14:conditionalFormattings>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8">
    <tabColor theme="5" tint="0.39997558519241921"/>
    <pageSetUpPr fitToPage="1"/>
  </sheetPr>
  <dimension ref="A1:N48"/>
  <sheetViews>
    <sheetView showGridLines="0" zoomScaleNormal="100" workbookViewId="0">
      <selection activeCell="H9" activeCellId="1" sqref="I8 H9"/>
    </sheetView>
  </sheetViews>
  <sheetFormatPr defaultColWidth="0" defaultRowHeight="0" customHeight="1" zeroHeight="1" x14ac:dyDescent="0.3"/>
  <cols>
    <col min="1" max="1" width="30" style="1" customWidth="1"/>
    <col min="2" max="2" width="16.54296875" style="1" customWidth="1"/>
    <col min="3" max="3" width="11.90625" style="1" customWidth="1"/>
    <col min="4" max="4" width="2.453125" style="1" customWidth="1"/>
    <col min="5" max="5" width="15.08984375" style="1" customWidth="1"/>
    <col min="6" max="6" width="13.6328125" style="1" customWidth="1"/>
    <col min="7" max="7" width="14.54296875" style="1" customWidth="1"/>
    <col min="8" max="8" width="17.6328125" style="1" customWidth="1"/>
    <col min="9" max="9" width="17.54296875" style="1" customWidth="1"/>
    <col min="10" max="10" width="13.90625" style="1" customWidth="1"/>
    <col min="11" max="11" width="2.90625" style="1" customWidth="1"/>
    <col min="12" max="12" width="15.36328125" style="1" customWidth="1"/>
    <col min="13" max="13" width="16.90625" style="1" customWidth="1"/>
    <col min="14" max="14" width="16" style="1" customWidth="1"/>
    <col min="15" max="15" width="0.90625" style="1" customWidth="1"/>
    <col min="16" max="16384" width="0" style="1" hidden="1"/>
  </cols>
  <sheetData>
    <row r="1" spans="1:14" ht="18.75" customHeight="1" thickBot="1" x14ac:dyDescent="0.35">
      <c r="I1" s="118" t="s">
        <v>33</v>
      </c>
      <c r="L1" s="71"/>
      <c r="M1" s="84" t="s">
        <v>32</v>
      </c>
      <c r="N1" s="71"/>
    </row>
    <row r="2" spans="1:14" ht="17.5" x14ac:dyDescent="0.35">
      <c r="A2" s="301" t="str">
        <f>Input!$C$9&amp;" TAX EXTENSION WORKSHEET"</f>
        <v>2025 TAX EXTENSION WORKSHEET</v>
      </c>
      <c r="B2" s="301"/>
      <c r="C2" s="301"/>
      <c r="F2" s="73"/>
      <c r="G2" s="73"/>
      <c r="H2" s="73" t="str">
        <f>"Estimated % Change to Existing EAV for "&amp;Input!$C$9&amp;" "</f>
        <v xml:space="preserve">Estimated % Change to Existing EAV for 2025 </v>
      </c>
      <c r="I2" s="85">
        <f>IF(Input!C19="Yes",Input!C35,Input!C42)</f>
        <v>0</v>
      </c>
      <c r="L2" s="83"/>
      <c r="M2" s="100" t="s">
        <v>30</v>
      </c>
      <c r="N2" s="82"/>
    </row>
    <row r="3" spans="1:14" ht="15" x14ac:dyDescent="0.3">
      <c r="F3" s="73"/>
      <c r="G3" s="73"/>
      <c r="H3" s="73" t="str">
        <f>"Estimated New Property for "&amp;Input!$C$9&amp;" "</f>
        <v xml:space="preserve">Estimated New Property for 2025 </v>
      </c>
      <c r="I3" s="53">
        <f>Input!$C$39</f>
        <v>0</v>
      </c>
      <c r="L3" s="68"/>
      <c r="M3" s="98" t="s">
        <v>31</v>
      </c>
      <c r="N3" s="69"/>
    </row>
    <row r="4" spans="1:14" ht="15.5" thickBot="1" x14ac:dyDescent="0.35">
      <c r="F4" s="72"/>
      <c r="G4" s="72"/>
      <c r="H4" s="73" t="str">
        <f>"Estimated Total EAV for "&amp;Input!$C$9&amp;" "</f>
        <v xml:space="preserve">Estimated Total EAV for 2025 </v>
      </c>
      <c r="I4" s="90">
        <f>Input!$C$41</f>
        <v>0</v>
      </c>
      <c r="J4" s="50"/>
      <c r="L4" s="91"/>
      <c r="M4" s="99" t="s">
        <v>35</v>
      </c>
      <c r="N4" s="92"/>
    </row>
    <row r="5" spans="1:14" ht="15" x14ac:dyDescent="0.3">
      <c r="F5" s="73"/>
      <c r="G5" s="73"/>
      <c r="H5" s="73" t="str">
        <f>"Estimated Total EAV Change for "&amp;Input!$C$9&amp;" "</f>
        <v xml:space="preserve">Estimated Total EAV Change for 2025 </v>
      </c>
      <c r="I5" s="87" t="e">
        <f>Input!$C$42</f>
        <v>#DIV/0!</v>
      </c>
      <c r="J5" s="50"/>
    </row>
    <row r="6" spans="1:14" ht="12" customHeight="1" thickBot="1" x14ac:dyDescent="0.35">
      <c r="F6" s="73"/>
      <c r="G6" s="73"/>
      <c r="H6" s="73"/>
      <c r="I6" s="116"/>
      <c r="J6" s="50"/>
    </row>
    <row r="7" spans="1:14" ht="18" customHeight="1" x14ac:dyDescent="0.3">
      <c r="A7" s="272"/>
      <c r="B7" s="44"/>
      <c r="C7" s="44"/>
      <c r="D7" s="44"/>
      <c r="E7" s="44"/>
      <c r="F7" s="104"/>
      <c r="G7" s="105"/>
      <c r="H7" s="105"/>
      <c r="I7" s="117" t="s">
        <v>37</v>
      </c>
      <c r="J7" s="106"/>
      <c r="K7" s="106"/>
      <c r="L7" s="106"/>
      <c r="M7" s="106"/>
      <c r="N7" s="107"/>
    </row>
    <row r="8" spans="1:14" ht="15.75" customHeight="1" x14ac:dyDescent="0.3">
      <c r="A8" s="272"/>
      <c r="B8" s="306" t="s">
        <v>93</v>
      </c>
      <c r="C8" s="306" t="s">
        <v>94</v>
      </c>
      <c r="D8" s="306"/>
      <c r="E8" s="45"/>
      <c r="F8" s="108"/>
      <c r="G8" s="73"/>
      <c r="H8" s="73" t="str">
        <f>"Actual % Change to Existing EAV for "&amp;Input!$C$9&amp;" "</f>
        <v xml:space="preserve">Actual % Change to Existing EAV for 2025 </v>
      </c>
      <c r="I8" s="86">
        <f>+Input!C35</f>
        <v>0</v>
      </c>
      <c r="J8" s="50" t="s">
        <v>65</v>
      </c>
      <c r="N8" s="109"/>
    </row>
    <row r="9" spans="1:14" ht="15" x14ac:dyDescent="0.3">
      <c r="A9" s="11"/>
      <c r="B9" s="307"/>
      <c r="C9" s="307"/>
      <c r="D9" s="307"/>
      <c r="E9" s="45"/>
      <c r="F9" s="108"/>
      <c r="G9" s="73"/>
      <c r="H9" s="73" t="str">
        <f>"Actual New Property for "&amp;Input!$C$9&amp;" "</f>
        <v xml:space="preserve">Actual New Property for 2025 </v>
      </c>
      <c r="I9" s="54">
        <v>2500000</v>
      </c>
      <c r="J9" s="50" t="s">
        <v>66</v>
      </c>
      <c r="N9" s="109"/>
    </row>
    <row r="10" spans="1:14" ht="15" x14ac:dyDescent="0.3">
      <c r="A10" s="5" t="s">
        <v>54</v>
      </c>
      <c r="B10" s="93" t="e">
        <f>IF(Input!C19="Yes",Input!$D$69*(1+MIN(0.05,Input!$C$29))/(Input!$C$41-Input!$C$39)*100,"N/A")</f>
        <v>#DIV/0!</v>
      </c>
      <c r="C10" s="302" t="e">
        <f>IF(Input!C19="Yes",Input!$D$69*(1+MIN(0.05,Input!$C$29))/(I10-I9)*100,"N/A")</f>
        <v>#DIV/0!</v>
      </c>
      <c r="D10" s="303"/>
      <c r="F10" s="108"/>
      <c r="G10" s="73"/>
      <c r="H10" s="73" t="str">
        <f>"Actual Total EAV for "&amp;Input!$C$9&amp;" "</f>
        <v xml:space="preserve">Actual Total EAV for 2025 </v>
      </c>
      <c r="I10" s="90">
        <f>Input!C31*(1+Extension!I8)+IF(Input!$C$19 ="Yes",Extension!I9,0)</f>
        <v>2500000</v>
      </c>
      <c r="J10" s="50"/>
      <c r="N10" s="109"/>
    </row>
    <row r="11" spans="1:14" ht="15" x14ac:dyDescent="0.3">
      <c r="A11" s="5" t="s">
        <v>67</v>
      </c>
      <c r="B11" s="58" t="e">
        <f>IF(Input!C19="Yes",($B$10*Input!$C$41)/100,"N/A")</f>
        <v>#DIV/0!</v>
      </c>
      <c r="C11" s="304" t="e">
        <f>IF(Input!C19="Yes",($C$10*$I$10)/100,"N/A")</f>
        <v>#DIV/0!</v>
      </c>
      <c r="D11" s="305"/>
      <c r="E11" s="43"/>
      <c r="F11" s="108"/>
      <c r="G11" s="73"/>
      <c r="H11" s="73" t="str">
        <f>"Actual Total EAV Change for "&amp;Input!$C$9&amp;" "</f>
        <v xml:space="preserve">Actual Total EAV Change for 2025 </v>
      </c>
      <c r="I11" s="88" t="e">
        <f>I10/Input!$C$31-1</f>
        <v>#DIV/0!</v>
      </c>
      <c r="J11" s="50"/>
      <c r="N11" s="109"/>
    </row>
    <row r="12" spans="1:14" ht="15.75" customHeight="1" x14ac:dyDescent="0.3">
      <c r="F12" s="110"/>
      <c r="J12" s="111" t="s">
        <v>69</v>
      </c>
      <c r="N12" s="109"/>
    </row>
    <row r="13" spans="1:14" ht="15" x14ac:dyDescent="0.3">
      <c r="F13" s="110"/>
      <c r="H13" s="5" t="s">
        <v>68</v>
      </c>
      <c r="I13" s="56" t="e">
        <f>IF(C10&gt;G37,"N/A",$C$10/$G$37)</f>
        <v>#DIV/0!</v>
      </c>
      <c r="J13" s="123" t="str">
        <f>IF(Input!C19="No"," YES - All Available Property Tax Dollars Have Been Captured"," YES - All Available Tax Capped Dollars Have Been Captured")</f>
        <v xml:space="preserve"> YES - All Available Tax Capped Dollars Have Been Captured</v>
      </c>
      <c r="K13" s="124"/>
      <c r="L13" s="124"/>
      <c r="M13" s="124"/>
      <c r="N13" s="125"/>
    </row>
    <row r="14" spans="1:14" ht="15" x14ac:dyDescent="0.3">
      <c r="F14" s="110"/>
      <c r="H14" s="5" t="str">
        <f>IF(Input!C19="Yes","Amount Below Allowable PTELL ","Amount Below Available Extension ")</f>
        <v xml:space="preserve">Amount Below Allowable PTELL </v>
      </c>
      <c r="I14" s="236" t="e">
        <f>IF(Input!C19="No",IF(Extension!I37&lt;Extension!H37,Extension!I37-Extension!H37,""),IF(I13="N/A",I37-C11,""))</f>
        <v>#DIV/0!</v>
      </c>
      <c r="J14" s="121" t="e">
        <f>IF(I14&lt;0," ALERT - Levy Increase Needed to Capture All Available Property Taxes","")</f>
        <v>#DIV/0!</v>
      </c>
      <c r="N14" s="109"/>
    </row>
    <row r="15" spans="1:14" ht="12" customHeight="1" thickBot="1" x14ac:dyDescent="0.35">
      <c r="A15" s="5"/>
      <c r="B15" s="5"/>
      <c r="F15" s="112"/>
      <c r="G15" s="113"/>
      <c r="H15" s="113"/>
      <c r="I15" s="113"/>
      <c r="J15" s="114"/>
      <c r="K15" s="113"/>
      <c r="L15" s="113"/>
      <c r="M15" s="113"/>
      <c r="N15" s="115"/>
    </row>
    <row r="16" spans="1:14" ht="18" customHeight="1" x14ac:dyDescent="0.3">
      <c r="G16" s="308" t="str">
        <f>IF(Input!C19="No","Maximum Extension Factor",IF(Input!C21="no","Maximum Calculated Tax Rate","Maximum Tax Rate using Prior Year EAV"))</f>
        <v>Maximum Calculated Tax Rate</v>
      </c>
      <c r="H16" s="308" t="str">
        <f>IF(Input!C19="No","Scenario Calculated Maximum Extension ","Maximum Allowable Extension")</f>
        <v>Maximum Allowable Extension</v>
      </c>
      <c r="I16" s="308" t="str">
        <f>IF(Input!$C$19="Yes","Maximum Allowable Extension x Reduction Factor","Scenario Calculated Extension")</f>
        <v>Maximum Allowable Extension x Reduction Factor</v>
      </c>
      <c r="J16" s="308" t="s">
        <v>71</v>
      </c>
      <c r="N16" s="308" t="s">
        <v>74</v>
      </c>
    </row>
    <row r="17" spans="1:14" ht="38" customHeight="1" x14ac:dyDescent="0.3">
      <c r="B17" s="8" t="s">
        <v>90</v>
      </c>
      <c r="C17" s="8" t="s">
        <v>70</v>
      </c>
      <c r="E17" s="8" t="s">
        <v>76</v>
      </c>
      <c r="F17" s="8" t="s">
        <v>85</v>
      </c>
      <c r="G17" s="270"/>
      <c r="H17" s="270"/>
      <c r="I17" s="270"/>
      <c r="J17" s="270"/>
      <c r="L17" s="8" t="s">
        <v>72</v>
      </c>
      <c r="M17" s="8" t="s">
        <v>73</v>
      </c>
      <c r="N17" s="270"/>
    </row>
    <row r="18" spans="1:14" ht="15" x14ac:dyDescent="0.3">
      <c r="A18" s="73" t="str">
        <f>Calculations!A14</f>
        <v xml:space="preserve">Corporate </v>
      </c>
      <c r="B18" s="53" t="e">
        <f>Calculations!J14</f>
        <v>#DIV/0!</v>
      </c>
      <c r="C18" s="57">
        <v>0</v>
      </c>
      <c r="E18" s="53" t="e">
        <f>B18*(1+C18)</f>
        <v>#DIV/0!</v>
      </c>
      <c r="F18" s="94" t="e">
        <f>(E18/$I$10)*100</f>
        <v>#DIV/0!</v>
      </c>
      <c r="G18" s="94" t="e">
        <f>IF(Input!$C$19="No",IF(Input!C51&gt;0,Input!C51,"Levy"),IF(Input!$C$21="no",IF(Input!C51&gt;0,MIN(Input!C51,F18),F18),IF(Input!C51&gt;0,MIN(Input!C51,Input!C51*(Input!$C$31+$I$9)/Extension!$I$10,F18),F18)))</f>
        <v>#DIV/0!</v>
      </c>
      <c r="H18" s="59" t="e">
        <f>IF(G18="Levy",E18,((G18*$I$10)/100))</f>
        <v>#DIV/0!</v>
      </c>
      <c r="I18" s="59" t="e">
        <f>IF(Input!$C$19="Yes",IF($I$13="N/A",H18,H18*$I$13),IF(Extension!E18&lt;Extension!H18,Extension!E18,Extension!H18))</f>
        <v>#DIV/0!</v>
      </c>
      <c r="J18" s="94" t="e">
        <f>(I18/$I$10)*100</f>
        <v>#DIV/0!</v>
      </c>
      <c r="L18" s="60">
        <v>0</v>
      </c>
      <c r="M18" s="59" t="e">
        <f>I18+L18</f>
        <v>#DIV/0!</v>
      </c>
      <c r="N18" s="94" t="e">
        <f>IF(M18=0,0,M18/$I$10)*100</f>
        <v>#DIV/0!</v>
      </c>
    </row>
    <row r="19" spans="1:14" ht="15" x14ac:dyDescent="0.3">
      <c r="A19" s="73" t="str">
        <f>Calculations!A15</f>
        <v xml:space="preserve">Working Cash Funds </v>
      </c>
      <c r="B19" s="53" t="e">
        <f>Calculations!J15</f>
        <v>#DIV/0!</v>
      </c>
      <c r="C19" s="57">
        <v>0</v>
      </c>
      <c r="E19" s="53" t="e">
        <f t="shared" ref="E19:E34" si="0">B19*(1+C19)</f>
        <v>#DIV/0!</v>
      </c>
      <c r="F19" s="94" t="e">
        <f t="shared" ref="F19:F34" si="1">(E19/$I$10)*100</f>
        <v>#DIV/0!</v>
      </c>
      <c r="G19" s="94" t="e">
        <f>IF(Input!$C$19="No",IF(Input!C52&gt;0,Input!C52,"Levy"),IF(Input!$C$21="no",IF(Input!C52&gt;0,MIN(Input!C52,F19),F19),IF(Input!C52&gt;0,MIN(Input!C52,Input!C52*(Input!$C$31+$I$9)/Extension!$I$10,F19),F19)))</f>
        <v>#DIV/0!</v>
      </c>
      <c r="H19" s="59" t="e">
        <f t="shared" ref="H19:H34" si="2">IF(G19="Levy",E19,((G19*$I$10)/100))</f>
        <v>#DIV/0!</v>
      </c>
      <c r="I19" s="59" t="e">
        <f>IF(Input!$C$19="Yes",IF($I$13="N/A",H19,H19*$I$13),IF(Extension!E19&lt;Extension!H19,Extension!E19,Extension!H19))</f>
        <v>#DIV/0!</v>
      </c>
      <c r="J19" s="94" t="e">
        <f t="shared" ref="J19:J34" si="3">(I19/$I$10)*100</f>
        <v>#DIV/0!</v>
      </c>
      <c r="L19" s="60">
        <v>0</v>
      </c>
      <c r="M19" s="59" t="e">
        <f t="shared" ref="M19:M34" si="4">I19+L19</f>
        <v>#DIV/0!</v>
      </c>
      <c r="N19" s="94" t="e">
        <f t="shared" ref="N19:N34" si="5">IF(M19=0,0,M19/$I$10)*100</f>
        <v>#DIV/0!</v>
      </c>
    </row>
    <row r="20" spans="1:14" ht="15" x14ac:dyDescent="0.3">
      <c r="A20" s="73" t="str">
        <f>Calculations!A16</f>
        <v xml:space="preserve">Police Protection </v>
      </c>
      <c r="B20" s="53" t="e">
        <f>Calculations!J16</f>
        <v>#DIV/0!</v>
      </c>
      <c r="C20" s="57">
        <v>0</v>
      </c>
      <c r="E20" s="53" t="e">
        <f t="shared" si="0"/>
        <v>#DIV/0!</v>
      </c>
      <c r="F20" s="94" t="e">
        <f t="shared" si="1"/>
        <v>#DIV/0!</v>
      </c>
      <c r="G20" s="94" t="e">
        <f>IF(Input!$C$19="No",IF(Input!C53&gt;0,Input!C53,"Levy"),IF(Input!$C$21="no",IF(Input!C53&gt;0,MIN(Input!C53,F20),F20),IF(Input!C53&gt;0,MIN(Input!C53,Input!C53*(Input!$C$31+$I$9)/Extension!$I$10,F20),F20)))</f>
        <v>#DIV/0!</v>
      </c>
      <c r="H20" s="59" t="e">
        <f t="shared" si="2"/>
        <v>#DIV/0!</v>
      </c>
      <c r="I20" s="59" t="e">
        <f>IF(Input!$C$19="Yes",IF($I$13="N/A",H20,H20*$I$13),IF(Extension!E20&lt;Extension!H20,Extension!E20,Extension!H20))</f>
        <v>#DIV/0!</v>
      </c>
      <c r="J20" s="94" t="e">
        <f t="shared" si="3"/>
        <v>#DIV/0!</v>
      </c>
      <c r="L20" s="60">
        <v>0</v>
      </c>
      <c r="M20" s="59" t="e">
        <f t="shared" si="4"/>
        <v>#DIV/0!</v>
      </c>
      <c r="N20" s="94" t="e">
        <f t="shared" si="5"/>
        <v>#DIV/0!</v>
      </c>
    </row>
    <row r="21" spans="1:14" ht="15" x14ac:dyDescent="0.3">
      <c r="A21" s="73" t="str">
        <f>Calculations!A17</f>
        <v xml:space="preserve">Auditing </v>
      </c>
      <c r="B21" s="53" t="e">
        <f>Calculations!J17</f>
        <v>#DIV/0!</v>
      </c>
      <c r="C21" s="57">
        <v>0</v>
      </c>
      <c r="E21" s="53" t="e">
        <f t="shared" si="0"/>
        <v>#DIV/0!</v>
      </c>
      <c r="F21" s="94" t="e">
        <f t="shared" si="1"/>
        <v>#DIV/0!</v>
      </c>
      <c r="G21" s="94" t="e">
        <f>IF(Input!$C$19="No",IF(Input!C54&gt;0,Input!C54,"Levy"),IF(Input!$C$21="no",IF(Input!C54&gt;0,MIN(Input!C54,F21),F21),IF(Input!C54&gt;0,MIN(Input!C54,Input!C54*(Input!$C$31+$I$9)/Extension!$I$10,F21),F21)))</f>
        <v>#DIV/0!</v>
      </c>
      <c r="H21" s="59" t="e">
        <f t="shared" si="2"/>
        <v>#DIV/0!</v>
      </c>
      <c r="I21" s="59" t="e">
        <f>IF(Input!$C$19="Yes",IF($I$13="N/A",H21,H21*$I$13),IF(Extension!E21&lt;Extension!H21,Extension!E21,Extension!H21))</f>
        <v>#DIV/0!</v>
      </c>
      <c r="J21" s="94" t="e">
        <f t="shared" si="3"/>
        <v>#DIV/0!</v>
      </c>
      <c r="L21" s="60">
        <v>0</v>
      </c>
      <c r="M21" s="59" t="e">
        <f t="shared" si="4"/>
        <v>#DIV/0!</v>
      </c>
      <c r="N21" s="94" t="e">
        <f t="shared" si="5"/>
        <v>#DIV/0!</v>
      </c>
    </row>
    <row r="22" spans="1:14" ht="15" x14ac:dyDescent="0.3">
      <c r="A22" s="73" t="str">
        <f>Calculations!A18</f>
        <v xml:space="preserve">Municipal Retirement </v>
      </c>
      <c r="B22" s="53" t="e">
        <f>Calculations!J18</f>
        <v>#DIV/0!</v>
      </c>
      <c r="C22" s="57">
        <v>0</v>
      </c>
      <c r="E22" s="53" t="e">
        <f t="shared" si="0"/>
        <v>#DIV/0!</v>
      </c>
      <c r="F22" s="94" t="e">
        <f t="shared" si="1"/>
        <v>#DIV/0!</v>
      </c>
      <c r="G22" s="94" t="e">
        <f>IF(Input!$C$19="No",IF(Input!C55&gt;0,Input!C55,"Levy"),IF(Input!$C$21="no",IF(Input!C55&gt;0,MIN(Input!C55,F22),F22),IF(Input!C55&gt;0,MIN(Input!C55,Input!C55*(Input!$C$31+$I$9)/Extension!$I$10,F22),F22)))</f>
        <v>#DIV/0!</v>
      </c>
      <c r="H22" s="59" t="e">
        <f t="shared" si="2"/>
        <v>#DIV/0!</v>
      </c>
      <c r="I22" s="59" t="e">
        <f>IF(Input!$C$19="Yes",IF($I$13="N/A",H22,H22*$I$13),IF(Extension!E22&lt;Extension!H22,Extension!E22,Extension!H22))</f>
        <v>#DIV/0!</v>
      </c>
      <c r="J22" s="94" t="e">
        <f t="shared" si="3"/>
        <v>#DIV/0!</v>
      </c>
      <c r="L22" s="60">
        <v>0</v>
      </c>
      <c r="M22" s="59" t="e">
        <f t="shared" si="4"/>
        <v>#DIV/0!</v>
      </c>
      <c r="N22" s="94" t="e">
        <f t="shared" si="5"/>
        <v>#DIV/0!</v>
      </c>
    </row>
    <row r="23" spans="1:14" ht="15" x14ac:dyDescent="0.3">
      <c r="A23" s="73" t="str">
        <f>Calculations!A19</f>
        <v xml:space="preserve">Unemployment Insurance </v>
      </c>
      <c r="B23" s="53" t="e">
        <f>Calculations!J19</f>
        <v>#DIV/0!</v>
      </c>
      <c r="C23" s="57">
        <v>0</v>
      </c>
      <c r="E23" s="53" t="e">
        <f t="shared" si="0"/>
        <v>#DIV/0!</v>
      </c>
      <c r="F23" s="94" t="e">
        <f t="shared" ref="F23:F33" si="6">(E23/$I$10)*100</f>
        <v>#DIV/0!</v>
      </c>
      <c r="G23" s="94" t="e">
        <f>IF(Input!$C$19="No",IF(Input!C56&gt;0,Input!C56,"Levy"),IF(Input!$C$21="no",IF(Input!C56&gt;0,MIN(Input!C56,F23),F23),IF(Input!C56&gt;0,MIN(Input!C56,Input!C56*(Input!$C$31+$I$9)/Extension!$I$10,F23),F23)))</f>
        <v>#DIV/0!</v>
      </c>
      <c r="H23" s="59" t="e">
        <f t="shared" ref="H23:H33" si="7">IF(G23="Levy",E23,((G23*$I$10)/100))</f>
        <v>#DIV/0!</v>
      </c>
      <c r="I23" s="59" t="e">
        <f>IF(Input!$C$19="Yes",IF($I$13="N/A",H23,H23*$I$13),IF(Extension!E23&lt;Extension!H23,Extension!E23,Extension!H23))</f>
        <v>#DIV/0!</v>
      </c>
      <c r="J23" s="94" t="e">
        <f t="shared" ref="J23:J33" si="8">(I23/$I$10)*100</f>
        <v>#DIV/0!</v>
      </c>
      <c r="L23" s="60">
        <v>0</v>
      </c>
      <c r="M23" s="59" t="e">
        <f t="shared" si="4"/>
        <v>#DIV/0!</v>
      </c>
      <c r="N23" s="94" t="e">
        <f t="shared" si="5"/>
        <v>#DIV/0!</v>
      </c>
    </row>
    <row r="24" spans="1:14" ht="15" x14ac:dyDescent="0.3">
      <c r="A24" s="73" t="str">
        <f>Calculations!A20</f>
        <v xml:space="preserve">Workman's Compensation </v>
      </c>
      <c r="B24" s="53" t="e">
        <f>Calculations!J20</f>
        <v>#DIV/0!</v>
      </c>
      <c r="C24" s="57">
        <v>0</v>
      </c>
      <c r="E24" s="53" t="e">
        <f t="shared" si="0"/>
        <v>#DIV/0!</v>
      </c>
      <c r="F24" s="94" t="e">
        <f t="shared" si="6"/>
        <v>#DIV/0!</v>
      </c>
      <c r="G24" s="94" t="e">
        <f>IF(Input!$C$19="No",IF(Input!C57&gt;0,Input!C57,"Levy"),IF(Input!$C$21="no",IF(Input!C57&gt;0,MIN(Input!C57,F24),F24),IF(Input!C57&gt;0,MIN(Input!C57,Input!C57*(Input!$C$31+$I$9)/Extension!$I$10,F24),F24)))</f>
        <v>#DIV/0!</v>
      </c>
      <c r="H24" s="59" t="e">
        <f t="shared" si="7"/>
        <v>#DIV/0!</v>
      </c>
      <c r="I24" s="59" t="e">
        <f>IF(Input!$C$19="Yes",IF($I$13="N/A",H24,H24*$I$13),IF(Extension!E24&lt;Extension!H24,Extension!E24,Extension!H24))</f>
        <v>#DIV/0!</v>
      </c>
      <c r="J24" s="94" t="e">
        <f t="shared" si="8"/>
        <v>#DIV/0!</v>
      </c>
      <c r="L24" s="60">
        <v>0</v>
      </c>
      <c r="M24" s="59" t="e">
        <f t="shared" si="4"/>
        <v>#DIV/0!</v>
      </c>
      <c r="N24" s="94" t="e">
        <f t="shared" si="5"/>
        <v>#DIV/0!</v>
      </c>
    </row>
    <row r="25" spans="1:14" ht="15" x14ac:dyDescent="0.3">
      <c r="A25" s="73" t="str">
        <f>Calculations!A21</f>
        <v xml:space="preserve">Social Security </v>
      </c>
      <c r="B25" s="53" t="e">
        <f>Calculations!J21</f>
        <v>#DIV/0!</v>
      </c>
      <c r="C25" s="57">
        <v>0</v>
      </c>
      <c r="E25" s="53" t="e">
        <f t="shared" si="0"/>
        <v>#DIV/0!</v>
      </c>
      <c r="F25" s="94" t="e">
        <f t="shared" si="6"/>
        <v>#DIV/0!</v>
      </c>
      <c r="G25" s="94" t="e">
        <f>IF(Input!$C$19="No",IF(Input!C58&gt;0,Input!C58,"Levy"),IF(Input!$C$21="no",IF(Input!C58&gt;0,MIN(Input!C58,F25),F25),IF(Input!C58&gt;0,MIN(Input!C58,Input!C58*(Input!$C$31+$I$9)/Extension!$I$10,F25),F25)))</f>
        <v>#DIV/0!</v>
      </c>
      <c r="H25" s="59" t="e">
        <f t="shared" si="7"/>
        <v>#DIV/0!</v>
      </c>
      <c r="I25" s="59" t="e">
        <f>IF(Input!$C$19="Yes",IF($I$13="N/A",H25,H25*$I$13),IF(Extension!E25&lt;Extension!H25,Extension!E25,Extension!H25))</f>
        <v>#DIV/0!</v>
      </c>
      <c r="J25" s="94" t="e">
        <f t="shared" si="8"/>
        <v>#DIV/0!</v>
      </c>
      <c r="L25" s="60">
        <v>0</v>
      </c>
      <c r="M25" s="59" t="e">
        <f t="shared" si="4"/>
        <v>#DIV/0!</v>
      </c>
      <c r="N25" s="94" t="e">
        <f t="shared" si="5"/>
        <v>#DIV/0!</v>
      </c>
    </row>
    <row r="26" spans="1:14" ht="15" x14ac:dyDescent="0.3">
      <c r="A26" s="73" t="str">
        <f>Calculations!A22</f>
        <v xml:space="preserve">Recreation </v>
      </c>
      <c r="B26" s="53" t="e">
        <f>Calculations!J22</f>
        <v>#DIV/0!</v>
      </c>
      <c r="C26" s="57">
        <v>0</v>
      </c>
      <c r="E26" s="53" t="e">
        <f t="shared" si="0"/>
        <v>#DIV/0!</v>
      </c>
      <c r="F26" s="94" t="e">
        <f t="shared" si="6"/>
        <v>#DIV/0!</v>
      </c>
      <c r="G26" s="94" t="e">
        <f>IF(Input!$C$19="No",IF(Input!C59&gt;0,Input!C59,"Levy"),IF(Input!$C$21="no",IF(Input!C59&gt;0,MIN(Input!C59,F26),F26),IF(Input!C59&gt;0,MIN(Input!C59,Input!C59*(Input!$C$31+$I$9)/Extension!$I$10,F26),F26)))</f>
        <v>#DIV/0!</v>
      </c>
      <c r="H26" s="59" t="e">
        <f t="shared" si="7"/>
        <v>#DIV/0!</v>
      </c>
      <c r="I26" s="59" t="e">
        <f>IF(Input!$C$19="Yes",IF($I$13="N/A",H26,H26*$I$13),IF(Extension!E26&lt;Extension!H26,Extension!E26,Extension!H26))</f>
        <v>#DIV/0!</v>
      </c>
      <c r="J26" s="94" t="e">
        <f t="shared" si="8"/>
        <v>#DIV/0!</v>
      </c>
      <c r="L26" s="60">
        <v>0</v>
      </c>
      <c r="M26" s="59" t="e">
        <f t="shared" si="4"/>
        <v>#DIV/0!</v>
      </c>
      <c r="N26" s="94" t="e">
        <f t="shared" si="5"/>
        <v>#DIV/0!</v>
      </c>
    </row>
    <row r="27" spans="1:14" ht="15" x14ac:dyDescent="0.3">
      <c r="A27" s="73" t="str">
        <f>Calculations!A23</f>
        <v xml:space="preserve">Liability Insurance </v>
      </c>
      <c r="B27" s="53" t="e">
        <f>Calculations!J23</f>
        <v>#DIV/0!</v>
      </c>
      <c r="C27" s="57">
        <v>0</v>
      </c>
      <c r="E27" s="53" t="e">
        <f t="shared" si="0"/>
        <v>#DIV/0!</v>
      </c>
      <c r="F27" s="94" t="e">
        <f t="shared" si="6"/>
        <v>#DIV/0!</v>
      </c>
      <c r="G27" s="94" t="e">
        <f>IF(Input!$C$19="No",IF(Input!C60&gt;0,Input!C60,"Levy"),IF(Input!$C$21="no",IF(Input!C60&gt;0,MIN(Input!C60,F27),F27),IF(Input!C60&gt;0,MIN(Input!C60,Input!C60*(Input!$C$31+$I$9)/Extension!$I$10,F27),F27)))</f>
        <v>#DIV/0!</v>
      </c>
      <c r="H27" s="59" t="e">
        <f t="shared" si="7"/>
        <v>#DIV/0!</v>
      </c>
      <c r="I27" s="59" t="e">
        <f>IF(Input!$C$19="Yes",IF($I$13="N/A",H27,H27*$I$13),IF(Extension!E27&lt;Extension!H27,Extension!E27,Extension!H27))</f>
        <v>#DIV/0!</v>
      </c>
      <c r="J27" s="94" t="e">
        <f t="shared" si="8"/>
        <v>#DIV/0!</v>
      </c>
      <c r="L27" s="60">
        <v>0</v>
      </c>
      <c r="M27" s="59" t="e">
        <f t="shared" si="4"/>
        <v>#DIV/0!</v>
      </c>
      <c r="N27" s="94" t="e">
        <f t="shared" si="5"/>
        <v>#DIV/0!</v>
      </c>
    </row>
    <row r="28" spans="1:14" ht="15" x14ac:dyDescent="0.3">
      <c r="A28" s="73" t="str">
        <f>Calculations!A24</f>
        <v xml:space="preserve">Paving/Lighting </v>
      </c>
      <c r="B28" s="53" t="e">
        <f>Calculations!J24</f>
        <v>#DIV/0!</v>
      </c>
      <c r="C28" s="57">
        <v>0</v>
      </c>
      <c r="E28" s="53" t="e">
        <f t="shared" si="0"/>
        <v>#DIV/0!</v>
      </c>
      <c r="F28" s="94" t="e">
        <f t="shared" si="6"/>
        <v>#DIV/0!</v>
      </c>
      <c r="G28" s="94" t="e">
        <f>IF(Input!$C$19="No",IF(Input!C61&gt;0,Input!C61,"Levy"),IF(Input!$C$21="no",IF(Input!C61&gt;0,MIN(Input!C61,F28),F28),IF(Input!C61&gt;0,MIN(Input!C61,Input!C61*(Input!$C$31+$I$9)/Extension!$I$10,F28),F28)))</f>
        <v>#DIV/0!</v>
      </c>
      <c r="H28" s="59" t="e">
        <f t="shared" si="7"/>
        <v>#DIV/0!</v>
      </c>
      <c r="I28" s="59" t="e">
        <f>IF(Input!$C$19="Yes",IF($I$13="N/A",H28,H28*$I$13),IF(Extension!E28&lt;Extension!H28,Extension!E28,Extension!H28))</f>
        <v>#DIV/0!</v>
      </c>
      <c r="J28" s="94" t="e">
        <f t="shared" si="8"/>
        <v>#DIV/0!</v>
      </c>
      <c r="L28" s="60">
        <v>0</v>
      </c>
      <c r="M28" s="59" t="e">
        <f t="shared" si="4"/>
        <v>#DIV/0!</v>
      </c>
      <c r="N28" s="94" t="e">
        <f t="shared" si="5"/>
        <v>#DIV/0!</v>
      </c>
    </row>
    <row r="29" spans="1:14" ht="15" x14ac:dyDescent="0.3">
      <c r="A29" s="73" t="str">
        <f>Calculations!A25</f>
        <v xml:space="preserve">Public Benefit </v>
      </c>
      <c r="B29" s="53" t="e">
        <f>Calculations!J25</f>
        <v>#DIV/0!</v>
      </c>
      <c r="C29" s="57">
        <v>0</v>
      </c>
      <c r="E29" s="53" t="e">
        <f t="shared" si="0"/>
        <v>#DIV/0!</v>
      </c>
      <c r="F29" s="94" t="e">
        <f t="shared" si="6"/>
        <v>#DIV/0!</v>
      </c>
      <c r="G29" s="94" t="e">
        <f>IF(Input!$C$19="No",IF(Input!C62&gt;0,Input!C62,"Levy"),IF(Input!$C$21="no",IF(Input!C62&gt;0,MIN(Input!C62,F29),F29),IF(Input!C62&gt;0,MIN(Input!C62,Input!C62*(Input!$C$31+$I$9)/Extension!$I$10,F29),F29)))</f>
        <v>#DIV/0!</v>
      </c>
      <c r="H29" s="59" t="e">
        <f t="shared" si="7"/>
        <v>#DIV/0!</v>
      </c>
      <c r="I29" s="59" t="e">
        <f>IF(Input!$C$19="Yes",IF($I$13="N/A",H29,H29*$I$13),IF(Extension!E29&lt;Extension!H29,Extension!E29,Extension!H29))</f>
        <v>#DIV/0!</v>
      </c>
      <c r="J29" s="94" t="e">
        <f t="shared" si="8"/>
        <v>#DIV/0!</v>
      </c>
      <c r="L29" s="60">
        <v>0</v>
      </c>
      <c r="M29" s="59" t="e">
        <f t="shared" si="4"/>
        <v>#DIV/0!</v>
      </c>
      <c r="N29" s="94" t="e">
        <f t="shared" si="5"/>
        <v>#DIV/0!</v>
      </c>
    </row>
    <row r="30" spans="1:14" ht="15" x14ac:dyDescent="0.3">
      <c r="A30" s="73" t="str">
        <f>Calculations!A26</f>
        <v>Museum</v>
      </c>
      <c r="B30" s="53" t="e">
        <f>Calculations!J26</f>
        <v>#DIV/0!</v>
      </c>
      <c r="C30" s="57">
        <v>0</v>
      </c>
      <c r="E30" s="53" t="e">
        <f t="shared" ref="E30" si="9">B30*(1+C30)</f>
        <v>#DIV/0!</v>
      </c>
      <c r="F30" s="94" t="e">
        <f t="shared" si="6"/>
        <v>#DIV/0!</v>
      </c>
      <c r="G30" s="94" t="e">
        <f>IF(Input!$C$19="No",IF(Input!C63&gt;0,Input!C63,"Levy"),IF(Input!$C$21="no",IF(Input!C63&gt;0,MIN(Input!C63,F30),F30),IF(Input!C63&gt;0,MIN(Input!C63,Input!C63*(Input!$C$31+$I$9)/Extension!$I$10,F30),F30)))</f>
        <v>#DIV/0!</v>
      </c>
      <c r="H30" s="59" t="e">
        <f t="shared" ref="H30" si="10">IF(G30="Levy",E30,((G30*$I$10)/100))</f>
        <v>#DIV/0!</v>
      </c>
      <c r="I30" s="59" t="e">
        <f>IF(Input!$C$19="Yes",IF($I$13="N/A",H30,H30*$I$13),IF(Extension!E30&lt;Extension!H30,Extension!E30,Extension!H30))</f>
        <v>#DIV/0!</v>
      </c>
      <c r="J30" s="94" t="e">
        <f t="shared" ref="J30" si="11">(I30/$I$10)*100</f>
        <v>#DIV/0!</v>
      </c>
      <c r="L30" s="60">
        <v>0</v>
      </c>
      <c r="M30" s="59" t="e">
        <f t="shared" ref="M30" si="12">I30+L30</f>
        <v>#DIV/0!</v>
      </c>
      <c r="N30" s="94" t="e">
        <f t="shared" ref="N30" si="13">IF(M30=0,0,M30/$I$10)*100</f>
        <v>#DIV/0!</v>
      </c>
    </row>
    <row r="31" spans="1:14" ht="15" x14ac:dyDescent="0.3">
      <c r="A31" s="73" t="str">
        <f>Calculations!A27</f>
        <v>Public Safety and Security</v>
      </c>
      <c r="B31" s="53" t="e">
        <f>Calculations!J27</f>
        <v>#DIV/0!</v>
      </c>
      <c r="C31" s="57">
        <v>0</v>
      </c>
      <c r="E31" s="53" t="e">
        <f t="shared" ref="E31" si="14">B31*(1+C31)</f>
        <v>#DIV/0!</v>
      </c>
      <c r="F31" s="94" t="e">
        <f t="shared" si="6"/>
        <v>#DIV/0!</v>
      </c>
      <c r="G31" s="94" t="e">
        <f>IF(Input!$C$19="No",IF(Input!C64&gt;0,Input!C64,"Levy"),IF(Input!$C$21="no",IF(Input!C64&gt;0,MIN(Input!C64,F31),F31),IF(Input!C64&gt;0,MIN(Input!C64,Input!C64*(Input!$C$31+$I$9)/Extension!$I$10,F31),F31)))</f>
        <v>#DIV/0!</v>
      </c>
      <c r="H31" s="59" t="e">
        <f t="shared" ref="H31" si="15">IF(G31="Levy",E31,((G31*$I$10)/100))</f>
        <v>#DIV/0!</v>
      </c>
      <c r="I31" s="59" t="e">
        <f>IF(Input!$C$19="Yes",IF($I$13="N/A",H31,H31*$I$13),IF(Extension!E31&lt;Extension!H31,Extension!E31,Extension!H31))</f>
        <v>#DIV/0!</v>
      </c>
      <c r="J31" s="94" t="e">
        <f t="shared" ref="J31" si="16">(I31/$I$10)*100</f>
        <v>#DIV/0!</v>
      </c>
      <c r="L31" s="60">
        <v>0</v>
      </c>
      <c r="M31" s="59" t="e">
        <f t="shared" ref="M31" si="17">I31+L31</f>
        <v>#DIV/0!</v>
      </c>
      <c r="N31" s="94" t="e">
        <f t="shared" ref="N31" si="18">IF(M31=0,0,M31/$I$10)*100</f>
        <v>#DIV/0!</v>
      </c>
    </row>
    <row r="32" spans="1:14" ht="15" x14ac:dyDescent="0.3">
      <c r="A32" s="73" t="str">
        <f>Calculations!A28</f>
        <v xml:space="preserve">Custom 1 </v>
      </c>
      <c r="B32" s="53" t="e">
        <f>Calculations!J28</f>
        <v>#DIV/0!</v>
      </c>
      <c r="C32" s="57">
        <v>0</v>
      </c>
      <c r="E32" s="53" t="e">
        <f t="shared" si="0"/>
        <v>#DIV/0!</v>
      </c>
      <c r="F32" s="94" t="e">
        <f t="shared" si="6"/>
        <v>#DIV/0!</v>
      </c>
      <c r="G32" s="94" t="e">
        <f>IF(Input!$C$19="No",IF(Input!C65&gt;0,Input!C65,"Levy"),IF(Input!$C$21="no",IF(Input!C65&gt;0,MIN(Input!C65,F32),F32),IF(Input!C65&gt;0,MIN(Input!C65,Input!C65*(Input!$C$31+$I$9)/Extension!$I$10,F32),F32)))</f>
        <v>#DIV/0!</v>
      </c>
      <c r="H32" s="59" t="e">
        <f t="shared" si="7"/>
        <v>#DIV/0!</v>
      </c>
      <c r="I32" s="59" t="e">
        <f>IF(Input!$C$19="Yes",IF($I$13="N/A",H32,H32*$I$13),IF(Extension!E32&lt;Extension!H32,Extension!E32,Extension!H32))</f>
        <v>#DIV/0!</v>
      </c>
      <c r="J32" s="94" t="e">
        <f t="shared" si="8"/>
        <v>#DIV/0!</v>
      </c>
      <c r="L32" s="60">
        <v>0</v>
      </c>
      <c r="M32" s="59" t="e">
        <f t="shared" si="4"/>
        <v>#DIV/0!</v>
      </c>
      <c r="N32" s="94" t="e">
        <f t="shared" si="5"/>
        <v>#DIV/0!</v>
      </c>
    </row>
    <row r="33" spans="1:14" ht="15" x14ac:dyDescent="0.3">
      <c r="A33" s="73" t="str">
        <f>Calculations!A29</f>
        <v xml:space="preserve">Custom 2 </v>
      </c>
      <c r="B33" s="53" t="e">
        <f>Calculations!J29</f>
        <v>#DIV/0!</v>
      </c>
      <c r="C33" s="57">
        <v>0</v>
      </c>
      <c r="E33" s="53" t="e">
        <f t="shared" si="0"/>
        <v>#DIV/0!</v>
      </c>
      <c r="F33" s="94" t="e">
        <f t="shared" si="6"/>
        <v>#DIV/0!</v>
      </c>
      <c r="G33" s="94" t="e">
        <f>IF(Input!$C$19="No",IF(Input!C66&gt;0,Input!C66,"Levy"),IF(Input!$C$21="no",IF(Input!C66&gt;0,MIN(Input!C66,F33),F33),IF(Input!C66&gt;0,MIN(Input!C66,Input!C66*(Input!$C$31+$I$9)/Extension!$I$10,F33),F33)))</f>
        <v>#DIV/0!</v>
      </c>
      <c r="H33" s="59" t="e">
        <f t="shared" si="7"/>
        <v>#DIV/0!</v>
      </c>
      <c r="I33" s="59" t="e">
        <f>IF(Input!$C$19="Yes",IF($I$13="N/A",H33,H33*$I$13),IF(Extension!E33&lt;Extension!H33,Extension!E33,Extension!H33))</f>
        <v>#DIV/0!</v>
      </c>
      <c r="J33" s="94" t="e">
        <f t="shared" si="8"/>
        <v>#DIV/0!</v>
      </c>
      <c r="L33" s="60">
        <v>0</v>
      </c>
      <c r="M33" s="59" t="e">
        <f t="shared" si="4"/>
        <v>#DIV/0!</v>
      </c>
      <c r="N33" s="94" t="e">
        <f t="shared" si="5"/>
        <v>#DIV/0!</v>
      </c>
    </row>
    <row r="34" spans="1:14" ht="15" x14ac:dyDescent="0.3">
      <c r="A34" s="73" t="str">
        <f>Calculations!A30</f>
        <v xml:space="preserve">Custom 3 </v>
      </c>
      <c r="B34" s="53" t="e">
        <f>Calculations!J30</f>
        <v>#DIV/0!</v>
      </c>
      <c r="C34" s="57">
        <v>0</v>
      </c>
      <c r="E34" s="53" t="e">
        <f t="shared" si="0"/>
        <v>#DIV/0!</v>
      </c>
      <c r="F34" s="94" t="e">
        <f t="shared" si="1"/>
        <v>#DIV/0!</v>
      </c>
      <c r="G34" s="94" t="e">
        <f>IF(Input!$C$19="No",IF(Input!C67&gt;0,Input!C67,"Levy"),IF(Input!$C$21="no",IF(Input!C67&gt;0,MIN(Input!C67,F34),F34),IF(Input!C67&gt;0,MIN(Input!C67,Input!C67*(Input!$C$31+$I$9)/Extension!$I$10,F34),F34)))</f>
        <v>#DIV/0!</v>
      </c>
      <c r="H34" s="59" t="e">
        <f t="shared" si="2"/>
        <v>#DIV/0!</v>
      </c>
      <c r="I34" s="59" t="e">
        <f>IF(Input!$C$19="Yes",IF($I$13="N/A",H34,H34*$I$13),IF(Extension!E34&lt;Extension!H34,Extension!E34,Extension!H34))</f>
        <v>#DIV/0!</v>
      </c>
      <c r="J34" s="94" t="e">
        <f t="shared" si="3"/>
        <v>#DIV/0!</v>
      </c>
      <c r="L34" s="60">
        <v>0</v>
      </c>
      <c r="M34" s="59" t="e">
        <f t="shared" si="4"/>
        <v>#DIV/0!</v>
      </c>
      <c r="N34" s="94" t="e">
        <f t="shared" si="5"/>
        <v>#DIV/0!</v>
      </c>
    </row>
    <row r="35" spans="1:14" ht="15.75" customHeight="1" x14ac:dyDescent="0.3">
      <c r="B35" s="3"/>
      <c r="C35" s="3"/>
      <c r="K35" s="47"/>
      <c r="L35" s="126">
        <f>-L37</f>
        <v>0</v>
      </c>
      <c r="M35" s="96" t="str">
        <f>IF(L35&lt;0," Extension Reduction Needed, Net to $0"," Extension Increase Needed, Net to $0")</f>
        <v xml:space="preserve"> Extension Increase Needed, Net to $0</v>
      </c>
    </row>
    <row r="36" spans="1:14" ht="15.75" customHeight="1" x14ac:dyDescent="0.3">
      <c r="B36" s="3"/>
      <c r="C36" s="3"/>
    </row>
    <row r="37" spans="1:14" ht="15" x14ac:dyDescent="0.3">
      <c r="A37" s="2" t="str">
        <f>IF(Input!C19="Yes","Capped Levy/Extension/Rate ","Levy/Extension/Rate ")</f>
        <v xml:space="preserve">Capped Levy/Extension/Rate </v>
      </c>
      <c r="B37" s="61" t="e">
        <f>SUM(B18:B34)</f>
        <v>#DIV/0!</v>
      </c>
      <c r="C37" s="4"/>
      <c r="E37" s="61" t="e">
        <f>SUM(E18:E34)</f>
        <v>#DIV/0!</v>
      </c>
      <c r="F37" s="95" t="e">
        <f>SUM(F18:F34)</f>
        <v>#DIV/0!</v>
      </c>
      <c r="G37" s="95" t="e">
        <f>SUM(G18:G34)</f>
        <v>#DIV/0!</v>
      </c>
      <c r="H37" s="62" t="e">
        <f>SUM(H18:H34)</f>
        <v>#DIV/0!</v>
      </c>
      <c r="I37" s="62" t="e">
        <f>SUM(I18:I35)</f>
        <v>#DIV/0!</v>
      </c>
      <c r="J37" s="95" t="e">
        <f>(I37/$I$10)*100</f>
        <v>#DIV/0!</v>
      </c>
      <c r="L37" s="62">
        <f>SUM(L18:L34)</f>
        <v>0</v>
      </c>
      <c r="M37" s="62" t="e">
        <f>SUM(M18:M34)</f>
        <v>#DIV/0!</v>
      </c>
      <c r="N37" s="95" t="e">
        <f>SUM(N18:N34)</f>
        <v>#DIV/0!</v>
      </c>
    </row>
    <row r="38" spans="1:14" ht="15" x14ac:dyDescent="0.3">
      <c r="A38" s="2"/>
      <c r="H38" s="47"/>
      <c r="I38" s="46"/>
    </row>
    <row r="39" spans="1:14" ht="15" x14ac:dyDescent="0.3">
      <c r="A39" s="2" t="s">
        <v>99</v>
      </c>
      <c r="B39" s="61">
        <f>Calculations!J37</f>
        <v>0</v>
      </c>
      <c r="H39" s="2" t="s">
        <v>133</v>
      </c>
      <c r="I39" s="62">
        <f>MIN((B39*(1+C39)),I$10*MIN(4%,Calculations!F36)/100)</f>
        <v>0</v>
      </c>
      <c r="J39" s="95">
        <f>I39/I$10*100</f>
        <v>0</v>
      </c>
      <c r="K39" s="52"/>
      <c r="L39" s="9" t="str">
        <f>IF(J39&lt;Calculations!F36,(J39-Calculations!F36)*I10/100,"")</f>
        <v/>
      </c>
      <c r="N39" s="95">
        <f>J39</f>
        <v>0</v>
      </c>
    </row>
    <row r="40" spans="1:14" ht="15" x14ac:dyDescent="0.3">
      <c r="A40" s="2"/>
      <c r="K40" s="51"/>
      <c r="L40" s="121" t="str">
        <f>IF(L39&lt;0," ALERT - Special Recreation Levy Increase Needed","")</f>
        <v/>
      </c>
      <c r="M40" s="121"/>
      <c r="N40" s="121"/>
    </row>
    <row r="41" spans="1:14" ht="15" hidden="1" x14ac:dyDescent="0.3">
      <c r="A41" s="185" t="s">
        <v>132</v>
      </c>
      <c r="B41" s="192">
        <f>Calculations!J40</f>
        <v>0</v>
      </c>
      <c r="C41" s="186"/>
      <c r="D41" s="186"/>
      <c r="E41" s="186"/>
      <c r="F41" s="186"/>
      <c r="G41" s="186"/>
      <c r="H41" s="185" t="s">
        <v>134</v>
      </c>
      <c r="I41" s="189" t="e">
        <f>MIN((B41*(1+C41)),I$10*MIN(Input!$C$72,Calculations!#REF!)/100)</f>
        <v>#REF!</v>
      </c>
      <c r="J41" s="193" t="e">
        <f>I41/I$10*100</f>
        <v>#REF!</v>
      </c>
      <c r="K41" s="194"/>
      <c r="L41" s="195" t="e">
        <f>IF(J41&lt;Calculations!#REF!,(J41-Calculations!#REF!)*I10/100,"")</f>
        <v>#REF!</v>
      </c>
      <c r="M41" s="184"/>
      <c r="N41" s="193" t="e">
        <f>J41</f>
        <v>#REF!</v>
      </c>
    </row>
    <row r="42" spans="1:14" ht="15" hidden="1" x14ac:dyDescent="0.3">
      <c r="A42" s="2"/>
      <c r="K42" s="51"/>
      <c r="L42" s="184" t="e">
        <f>IF(L41&lt;0," ALERT - Museum Levy Increase Needed","")</f>
        <v>#REF!</v>
      </c>
      <c r="M42" s="121"/>
      <c r="N42" s="121"/>
    </row>
    <row r="43" spans="1:14" ht="15" x14ac:dyDescent="0.3">
      <c r="A43" s="2" t="s">
        <v>89</v>
      </c>
      <c r="B43" s="61">
        <f>Calculations!J42</f>
        <v>0</v>
      </c>
      <c r="H43" s="2" t="s">
        <v>91</v>
      </c>
      <c r="I43" s="60"/>
      <c r="J43" s="95">
        <f>(I43/$I$10)*100</f>
        <v>0</v>
      </c>
      <c r="K43" s="52" t="s">
        <v>34</v>
      </c>
      <c r="N43" s="95">
        <f>J43</f>
        <v>0</v>
      </c>
    </row>
    <row r="44" spans="1:14" ht="15" x14ac:dyDescent="0.3">
      <c r="A44" s="2"/>
      <c r="B44" s="42"/>
      <c r="C44" s="4"/>
      <c r="E44" s="4"/>
      <c r="F44" s="4"/>
      <c r="G44" s="4"/>
    </row>
    <row r="45" spans="1:14" ht="15" x14ac:dyDescent="0.3">
      <c r="A45" s="2" t="s">
        <v>57</v>
      </c>
      <c r="B45" s="61" t="e">
        <f>B37+B43+B39+B41</f>
        <v>#DIV/0!</v>
      </c>
      <c r="C45" s="10"/>
      <c r="H45" s="2" t="s">
        <v>88</v>
      </c>
      <c r="I45" s="61" t="e">
        <f>I37+I39+I43</f>
        <v>#DIV/0!</v>
      </c>
      <c r="J45" s="95" t="e">
        <f>J37+J39+J43</f>
        <v>#DIV/0!</v>
      </c>
      <c r="M45" s="2"/>
      <c r="N45" s="95" t="e">
        <f>N37+N39+N43</f>
        <v>#DIV/0!</v>
      </c>
    </row>
    <row r="46" spans="1:14" ht="13" x14ac:dyDescent="0.3">
      <c r="C46" s="3"/>
    </row>
    <row r="47" spans="1:14" ht="4.5" customHeight="1" x14ac:dyDescent="0.3">
      <c r="C47" s="3"/>
    </row>
    <row r="48" spans="1:14" ht="13" hidden="1" x14ac:dyDescent="0.3">
      <c r="C48" s="3"/>
    </row>
  </sheetData>
  <sheetProtection algorithmName="SHA-512" hashValue="Qhtq6Td14FTF2ZfimYr3fitdO602eis6tdT15z8XRG6v/Hmm0kRLlSBUCaGj997lkVVAQGnjUzeAn11Zz8vAyA==" saltValue="1XHk6QmXX47Pcg6iPPQqbw==" spinCount="100000" sheet="1" objects="1" scenarios="1"/>
  <mergeCells count="11">
    <mergeCell ref="N16:N17"/>
    <mergeCell ref="J16:J17"/>
    <mergeCell ref="G16:G17"/>
    <mergeCell ref="I16:I17"/>
    <mergeCell ref="H16:H17"/>
    <mergeCell ref="A7:A8"/>
    <mergeCell ref="A2:C2"/>
    <mergeCell ref="C10:D10"/>
    <mergeCell ref="C11:D11"/>
    <mergeCell ref="B8:B9"/>
    <mergeCell ref="C8:D9"/>
  </mergeCells>
  <conditionalFormatting sqref="A7:C7 E7:E9">
    <cfRule type="expression" dxfId="100" priority="190" stopIfTrue="1">
      <formula>$B$10="N/A"</formula>
    </cfRule>
  </conditionalFormatting>
  <conditionalFormatting sqref="A10:D11">
    <cfRule type="expression" dxfId="99" priority="161" stopIfTrue="1">
      <formula>$B$10="N/A"</formula>
    </cfRule>
  </conditionalFormatting>
  <conditionalFormatting sqref="B11">
    <cfRule type="expression" dxfId="98" priority="167" stopIfTrue="1">
      <formula>$B$10="N/A"</formula>
    </cfRule>
  </conditionalFormatting>
  <conditionalFormatting sqref="B8:C8">
    <cfRule type="expression" dxfId="97" priority="165" stopIfTrue="1">
      <formula>$B$10="N/A"</formula>
    </cfRule>
  </conditionalFormatting>
  <conditionalFormatting sqref="F18">
    <cfRule type="cellIs" dxfId="96" priority="160" operator="greaterThan">
      <formula>$G$18</formula>
    </cfRule>
  </conditionalFormatting>
  <conditionalFormatting sqref="F19">
    <cfRule type="cellIs" dxfId="94" priority="90" operator="greaterThan">
      <formula>$G$19</formula>
    </cfRule>
  </conditionalFormatting>
  <conditionalFormatting sqref="F20">
    <cfRule type="cellIs" dxfId="93" priority="45" operator="greaterThan">
      <formula>$G$20</formula>
    </cfRule>
  </conditionalFormatting>
  <conditionalFormatting sqref="F21">
    <cfRule type="cellIs" dxfId="92" priority="44" operator="greaterThan">
      <formula>$G$21</formula>
    </cfRule>
  </conditionalFormatting>
  <conditionalFormatting sqref="F22">
    <cfRule type="cellIs" dxfId="91" priority="43" operator="greaterThan">
      <formula>$G$22</formula>
    </cfRule>
  </conditionalFormatting>
  <conditionalFormatting sqref="F23">
    <cfRule type="cellIs" dxfId="90" priority="42" operator="greaterThan">
      <formula>$G$23</formula>
    </cfRule>
  </conditionalFormatting>
  <conditionalFormatting sqref="F24">
    <cfRule type="cellIs" dxfId="89" priority="41" operator="greaterThan">
      <formula>$G$24</formula>
    </cfRule>
  </conditionalFormatting>
  <conditionalFormatting sqref="F25">
    <cfRule type="cellIs" dxfId="88" priority="40" operator="greaterThan">
      <formula>$G$25</formula>
    </cfRule>
  </conditionalFormatting>
  <conditionalFormatting sqref="F26">
    <cfRule type="cellIs" dxfId="87" priority="39" operator="greaterThan">
      <formula>$G$26</formula>
    </cfRule>
  </conditionalFormatting>
  <conditionalFormatting sqref="F27">
    <cfRule type="cellIs" dxfId="86" priority="38" operator="greaterThan">
      <formula>$G$27</formula>
    </cfRule>
  </conditionalFormatting>
  <conditionalFormatting sqref="F28">
    <cfRule type="cellIs" dxfId="85" priority="37" operator="greaterThan">
      <formula>$G$28</formula>
    </cfRule>
  </conditionalFormatting>
  <conditionalFormatting sqref="F31">
    <cfRule type="cellIs" dxfId="84" priority="36" operator="greaterThan">
      <formula>$G$31</formula>
    </cfRule>
  </conditionalFormatting>
  <conditionalFormatting sqref="F32">
    <cfRule type="cellIs" dxfId="83" priority="35" operator="greaterThan">
      <formula>$G$32</formula>
    </cfRule>
  </conditionalFormatting>
  <conditionalFormatting sqref="F33">
    <cfRule type="cellIs" dxfId="82" priority="34" operator="greaterThan">
      <formula>$G$33</formula>
    </cfRule>
  </conditionalFormatting>
  <conditionalFormatting sqref="F34">
    <cfRule type="cellIs" dxfId="81" priority="33" operator="greaterThan">
      <formula>$G$34</formula>
    </cfRule>
  </conditionalFormatting>
  <conditionalFormatting sqref="F2:H3">
    <cfRule type="expression" dxfId="80" priority="116" stopIfTrue="1">
      <formula>$C$17="No"</formula>
    </cfRule>
  </conditionalFormatting>
  <conditionalFormatting sqref="H14">
    <cfRule type="expression" dxfId="77" priority="82">
      <formula>$I$14&gt;0</formula>
    </cfRule>
  </conditionalFormatting>
  <conditionalFormatting sqref="H38:I38">
    <cfRule type="cellIs" dxfId="76" priority="133" operator="lessThan">
      <formula>0</formula>
    </cfRule>
  </conditionalFormatting>
  <conditionalFormatting sqref="I2:I3">
    <cfRule type="expression" dxfId="75" priority="119" stopIfTrue="1">
      <formula>$C$17="No"</formula>
    </cfRule>
  </conditionalFormatting>
  <conditionalFormatting sqref="I8:I9">
    <cfRule type="expression" dxfId="73" priority="87">
      <formula>$I$14&lt;0</formula>
    </cfRule>
  </conditionalFormatting>
  <conditionalFormatting sqref="I14 A7:D7 A9 H13:I13">
    <cfRule type="expression" dxfId="71" priority="181" stopIfTrue="1">
      <formula>$B$10="N/A"</formula>
    </cfRule>
  </conditionalFormatting>
  <conditionalFormatting sqref="I14">
    <cfRule type="cellIs" dxfId="70" priority="129" operator="lessThan">
      <formula>0</formula>
    </cfRule>
    <cfRule type="cellIs" dxfId="69" priority="128" operator="lessThan">
      <formula>0</formula>
    </cfRule>
  </conditionalFormatting>
  <conditionalFormatting sqref="I18:I34">
    <cfRule type="expression" dxfId="68" priority="86">
      <formula>$I18&lt;$H18</formula>
    </cfRule>
  </conditionalFormatting>
  <conditionalFormatting sqref="J18">
    <cfRule type="expression" dxfId="65" priority="93">
      <formula>$J18&lt;$G18</formula>
    </cfRule>
    <cfRule type="expression" dxfId="64" priority="84">
      <formula>$G$18="Levy"</formula>
    </cfRule>
    <cfRule type="expression" dxfId="63" priority="46">
      <formula>$J$18=0</formula>
    </cfRule>
  </conditionalFormatting>
  <conditionalFormatting sqref="J19">
    <cfRule type="expression" dxfId="62" priority="64">
      <formula>$J$19&lt;$G$19</formula>
    </cfRule>
    <cfRule type="expression" dxfId="61" priority="31">
      <formula>$J$19=0</formula>
    </cfRule>
    <cfRule type="expression" dxfId="60" priority="60">
      <formula>$G$19="Levy"</formula>
    </cfRule>
  </conditionalFormatting>
  <conditionalFormatting sqref="J20">
    <cfRule type="expression" dxfId="59" priority="63">
      <formula>$J$20&lt;$G$20</formula>
    </cfRule>
    <cfRule type="expression" dxfId="58" priority="30">
      <formula>$J$20=0</formula>
    </cfRule>
    <cfRule type="expression" dxfId="57" priority="59">
      <formula>$G$20="Levy"</formula>
    </cfRule>
  </conditionalFormatting>
  <conditionalFormatting sqref="J21">
    <cfRule type="expression" dxfId="56" priority="62">
      <formula>$J$21&lt;$G$21</formula>
    </cfRule>
    <cfRule type="expression" dxfId="55" priority="29">
      <formula>$J$21=0</formula>
    </cfRule>
    <cfRule type="expression" dxfId="54" priority="58">
      <formula>$G$21="Levy"</formula>
    </cfRule>
  </conditionalFormatting>
  <conditionalFormatting sqref="J22">
    <cfRule type="expression" dxfId="53" priority="17">
      <formula>$G$22="Levy"</formula>
    </cfRule>
    <cfRule type="expression" dxfId="52" priority="28">
      <formula>$J$22&lt;$G$22</formula>
    </cfRule>
    <cfRule type="expression" dxfId="51" priority="13">
      <formula>$J$22=0</formula>
    </cfRule>
  </conditionalFormatting>
  <conditionalFormatting sqref="J23">
    <cfRule type="expression" dxfId="50" priority="12">
      <formula>$J$23=0</formula>
    </cfRule>
    <cfRule type="expression" dxfId="49" priority="27">
      <formula>$J$23&lt;$G$23</formula>
    </cfRule>
    <cfRule type="expression" dxfId="48" priority="16">
      <formula>$G$23="Levy"</formula>
    </cfRule>
  </conditionalFormatting>
  <conditionalFormatting sqref="J24">
    <cfRule type="expression" dxfId="47" priority="11">
      <formula>$J$24=0</formula>
    </cfRule>
    <cfRule type="expression" dxfId="46" priority="26">
      <formula>$J$24&lt;$G$24</formula>
    </cfRule>
    <cfRule type="expression" dxfId="45" priority="15">
      <formula>$G$24="Levy"</formula>
    </cfRule>
  </conditionalFormatting>
  <conditionalFormatting sqref="J25">
    <cfRule type="expression" dxfId="44" priority="10">
      <formula>$J$25=0</formula>
    </cfRule>
    <cfRule type="expression" dxfId="43" priority="14">
      <formula>$G$25="Levy"</formula>
    </cfRule>
    <cfRule type="expression" dxfId="42" priority="25">
      <formula>$J$25&lt;$G$25</formula>
    </cfRule>
  </conditionalFormatting>
  <conditionalFormatting sqref="J26">
    <cfRule type="expression" dxfId="41" priority="61">
      <formula>$J$26&lt;$G$26</formula>
    </cfRule>
    <cfRule type="expression" dxfId="40" priority="57">
      <formula>$G$26="Levy"</formula>
    </cfRule>
    <cfRule type="expression" dxfId="39" priority="24">
      <formula>$J$26=0</formula>
    </cfRule>
  </conditionalFormatting>
  <conditionalFormatting sqref="J27">
    <cfRule type="expression" dxfId="38" priority="9">
      <formula>$G$27="Levy"</formula>
    </cfRule>
    <cfRule type="expression" dxfId="37" priority="8">
      <formula>$J$27=0</formula>
    </cfRule>
    <cfRule type="expression" dxfId="36" priority="23">
      <formula>$J$27&lt;$G$27</formula>
    </cfRule>
  </conditionalFormatting>
  <conditionalFormatting sqref="J28">
    <cfRule type="expression" dxfId="35" priority="54">
      <formula>$G$28="Levy"</formula>
    </cfRule>
    <cfRule type="expression" dxfId="34" priority="55">
      <formula>$J$28&lt;$G$28</formula>
    </cfRule>
    <cfRule type="expression" dxfId="33" priority="22">
      <formula>$J$28=0</formula>
    </cfRule>
  </conditionalFormatting>
  <conditionalFormatting sqref="J29:J31">
    <cfRule type="expression" dxfId="32" priority="52">
      <formula>$G$29="Levy"</formula>
    </cfRule>
    <cfRule type="expression" dxfId="31" priority="53">
      <formula>$J$29&lt;$G$29</formula>
    </cfRule>
    <cfRule type="expression" dxfId="30" priority="21">
      <formula>$J$29=0</formula>
    </cfRule>
  </conditionalFormatting>
  <conditionalFormatting sqref="J32">
    <cfRule type="expression" dxfId="29" priority="50">
      <formula>$G$32="Levy"</formula>
    </cfRule>
    <cfRule type="expression" dxfId="28" priority="51">
      <formula>$J$32&lt;$G$32</formula>
    </cfRule>
    <cfRule type="expression" dxfId="27" priority="20">
      <formula>$J$32=0</formula>
    </cfRule>
  </conditionalFormatting>
  <conditionalFormatting sqref="J33">
    <cfRule type="expression" dxfId="26" priority="48">
      <formula>$G$33="Levy"</formula>
    </cfRule>
    <cfRule type="expression" dxfId="25" priority="49">
      <formula>$J$33&lt;$G$33</formula>
    </cfRule>
    <cfRule type="expression" dxfId="24" priority="19">
      <formula>$J$33=0</formula>
    </cfRule>
  </conditionalFormatting>
  <conditionalFormatting sqref="J34">
    <cfRule type="expression" dxfId="23" priority="92">
      <formula>$J$34&lt;$G$34</formula>
    </cfRule>
    <cfRule type="expression" dxfId="22" priority="18">
      <formula>$J$34=0</formula>
    </cfRule>
    <cfRule type="expression" dxfId="21" priority="47">
      <formula>$G$34="Levy"</formula>
    </cfRule>
  </conditionalFormatting>
  <conditionalFormatting sqref="J13:N13">
    <cfRule type="expression" dxfId="20" priority="88">
      <formula>$I$14&lt;0</formula>
    </cfRule>
    <cfRule type="expression" dxfId="19" priority="109">
      <formula>$I$13="N/A"</formula>
    </cfRule>
  </conditionalFormatting>
  <conditionalFormatting sqref="J14:N14">
    <cfRule type="expression" dxfId="18" priority="99">
      <formula>$I$14&lt;0</formula>
    </cfRule>
  </conditionalFormatting>
  <conditionalFormatting sqref="L35">
    <cfRule type="expression" dxfId="17" priority="95">
      <formula>$L$37=0</formula>
    </cfRule>
  </conditionalFormatting>
  <conditionalFormatting sqref="L37">
    <cfRule type="expression" dxfId="16" priority="97">
      <formula>$L$37&gt;0</formula>
    </cfRule>
    <cfRule type="expression" dxfId="15" priority="98">
      <formula>$L$37&lt;0</formula>
    </cfRule>
  </conditionalFormatting>
  <conditionalFormatting sqref="L39">
    <cfRule type="expression" dxfId="14" priority="68">
      <formula>$L$39&lt;0</formula>
    </cfRule>
  </conditionalFormatting>
  <conditionalFormatting sqref="L41">
    <cfRule type="expression" dxfId="13" priority="67">
      <formula>$L$41&lt;0</formula>
    </cfRule>
  </conditionalFormatting>
  <conditionalFormatting sqref="L40:N40">
    <cfRule type="expression" dxfId="12" priority="66">
      <formula>$L$39&lt;0</formula>
    </cfRule>
  </conditionalFormatting>
  <conditionalFormatting sqref="L42:N42">
    <cfRule type="expression" dxfId="11" priority="65">
      <formula>$L$41&lt;0</formula>
    </cfRule>
  </conditionalFormatting>
  <conditionalFormatting sqref="M18:M34">
    <cfRule type="cellIs" dxfId="10" priority="140" operator="greaterThan">
      <formula>$E18</formula>
    </cfRule>
  </conditionalFormatting>
  <conditionalFormatting sqref="M35:N35">
    <cfRule type="expression" dxfId="9" priority="96">
      <formula>$L$37=0</formula>
    </cfRule>
  </conditionalFormatting>
  <pageMargins left="0.4" right="0.4" top="0.73" bottom="0.79" header="0.5" footer="0.49"/>
  <pageSetup scale="64" orientation="landscape" r:id="rId1"/>
  <headerFooter alignWithMargins="0"/>
  <extLst>
    <ext xmlns:x14="http://schemas.microsoft.com/office/spreadsheetml/2009/9/main" uri="{78C0D931-6437-407d-A8EE-F0AAD7539E65}">
      <x14:conditionalFormattings>
        <x14:conditionalFormatting xmlns:xm="http://schemas.microsoft.com/office/excel/2006/main">
          <x14:cfRule type="expression" priority="32" id="{F533E96E-9F42-40B7-984F-046851FCFBCD}">
            <xm:f>Input!$C$19="No"</xm:f>
            <x14:dxf>
              <font>
                <color auto="1"/>
              </font>
              <fill>
                <patternFill>
                  <bgColor theme="4" tint="0.79998168889431442"/>
                </patternFill>
              </fill>
            </x14:dxf>
          </x14:cfRule>
          <xm:sqref>F18:F34</xm:sqref>
        </x14:conditionalFormatting>
        <x14:conditionalFormatting xmlns:xm="http://schemas.microsoft.com/office/excel/2006/main">
          <x14:cfRule type="expression" priority="6" id="{F4AE42A3-8719-4A9F-A452-74786C328CB1}">
            <xm:f>Input!$C$19="No"</xm:f>
            <x14:dxf>
              <font>
                <color theme="0"/>
              </font>
              <fill>
                <patternFill patternType="none">
                  <bgColor auto="1"/>
                </patternFill>
              </fill>
              <border>
                <left/>
                <right/>
                <top/>
                <bottom/>
                <vertical/>
                <horizontal/>
              </border>
            </x14:dxf>
          </x14:cfRule>
          <xm:sqref>G9:H9</xm:sqref>
        </x14:conditionalFormatting>
        <x14:conditionalFormatting xmlns:xm="http://schemas.microsoft.com/office/excel/2006/main">
          <x14:cfRule type="expression" priority="2" id="{A4DF056B-D141-4261-9864-C58BA8D9B92A}">
            <xm:f>Input!$C$19="No"</xm:f>
            <x14:dxf>
              <font>
                <color theme="0"/>
              </font>
            </x14:dxf>
          </x14:cfRule>
          <xm:sqref>H3</xm:sqref>
        </x14:conditionalFormatting>
        <x14:conditionalFormatting xmlns:xm="http://schemas.microsoft.com/office/excel/2006/main">
          <x14:cfRule type="expression" priority="3" id="{ABCB0033-D817-40D3-A319-1EBCB6610FEB}">
            <xm:f>Input!$C$19="No"</xm:f>
            <x14:dxf>
              <font>
                <color theme="0"/>
              </font>
              <fill>
                <patternFill patternType="none">
                  <bgColor auto="1"/>
                </patternFill>
              </fill>
              <border>
                <left/>
                <right/>
                <top style="thin">
                  <color auto="1"/>
                </top>
                <bottom style="thin">
                  <color auto="1"/>
                </bottom>
              </border>
            </x14:dxf>
          </x14:cfRule>
          <xm:sqref>I3</xm:sqref>
        </x14:conditionalFormatting>
        <x14:conditionalFormatting xmlns:xm="http://schemas.microsoft.com/office/excel/2006/main">
          <x14:cfRule type="expression" priority="5" id="{46E8A2E3-080F-41DF-8449-474619E266C4}">
            <xm:f>Input!$C$19="No"</xm:f>
            <x14:dxf>
              <font>
                <color theme="0"/>
              </font>
              <fill>
                <patternFill patternType="none">
                  <bgColor auto="1"/>
                </patternFill>
              </fill>
              <border>
                <left/>
                <right/>
                <top style="thin">
                  <color auto="1"/>
                </top>
                <bottom style="thin">
                  <color auto="1"/>
                </bottom>
                <vertical/>
                <horizontal/>
              </border>
            </x14:dxf>
          </x14:cfRule>
          <xm:sqref>I9</xm:sqref>
        </x14:conditionalFormatting>
        <x14:conditionalFormatting xmlns:xm="http://schemas.microsoft.com/office/excel/2006/main">
          <x14:cfRule type="expression" priority="7" id="{A9863335-3750-4FD6-ABFB-25E727B1E67F}">
            <xm:f>Input!$C$19="Yes"</xm:f>
            <x14:dxf>
              <fill>
                <patternFill>
                  <bgColor theme="4" tint="0.79998168889431442"/>
                </patternFill>
              </fill>
            </x14:dxf>
          </x14:cfRule>
          <xm:sqref>I18:J34</xm:sqref>
        </x14:conditionalFormatting>
        <x14:conditionalFormatting xmlns:xm="http://schemas.microsoft.com/office/excel/2006/main">
          <x14:cfRule type="expression" priority="1" id="{D7285E59-9474-43B2-A153-16C8825E13B8}">
            <xm:f>Input!$C$19="No"</xm:f>
            <x14:dxf>
              <font>
                <color theme="0"/>
              </font>
            </x14:dxf>
          </x14:cfRule>
          <xm:sqref>J9</xm:sqref>
        </x14:conditionalFormatting>
      </x14:conditionalFormattings>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5A976D-F384-440F-861B-2EBE865E2E40}">
  <sheetPr>
    <tabColor theme="5" tint="0.79998168889431442"/>
  </sheetPr>
  <dimension ref="A1:AD89"/>
  <sheetViews>
    <sheetView showGridLines="0" topLeftCell="A4" workbookViewId="0">
      <selection activeCell="I14" sqref="I14"/>
    </sheetView>
  </sheetViews>
  <sheetFormatPr defaultColWidth="9.08984375" defaultRowHeight="13" zeroHeight="1" x14ac:dyDescent="0.3"/>
  <cols>
    <col min="1" max="1" width="44.90625" style="131" bestFit="1" customWidth="1"/>
    <col min="2" max="2" width="16.54296875" style="131" customWidth="1"/>
    <col min="3" max="4" width="9.08984375" style="131" customWidth="1"/>
    <col min="5" max="5" width="10" style="131" customWidth="1"/>
    <col min="6" max="6" width="10.90625" style="131" customWidth="1"/>
    <col min="7" max="7" width="10" style="131" customWidth="1"/>
    <col min="8" max="8" width="2.90625" style="131" customWidth="1"/>
    <col min="9" max="9" width="13" style="131" customWidth="1"/>
    <col min="10" max="10" width="10.54296875" style="131" customWidth="1"/>
    <col min="11" max="12" width="9.08984375" style="131" customWidth="1"/>
    <col min="13" max="13" width="16.54296875" style="131" customWidth="1"/>
    <col min="14" max="14" width="7.453125" style="131" customWidth="1"/>
    <col min="15" max="15" width="13.6328125" style="131" customWidth="1"/>
    <col min="16" max="16" width="4.90625" style="134" customWidth="1"/>
    <col min="17" max="23" width="9.08984375" style="134" customWidth="1"/>
    <col min="24" max="28" width="9.08984375" style="150" customWidth="1"/>
    <col min="29" max="30" width="9.08984375" style="134" customWidth="1"/>
    <col min="31" max="69" width="9.08984375" style="131" customWidth="1"/>
    <col min="70" max="16384" width="9.08984375" style="131"/>
  </cols>
  <sheetData>
    <row r="1" spans="1:28" ht="15.5" thickBot="1" x14ac:dyDescent="0.35">
      <c r="A1" s="154"/>
      <c r="B1" s="154"/>
      <c r="C1" s="154"/>
      <c r="D1" s="154"/>
      <c r="E1" s="132"/>
      <c r="F1" s="133" t="s">
        <v>32</v>
      </c>
      <c r="G1" s="132"/>
      <c r="H1" s="132"/>
      <c r="I1" s="154"/>
      <c r="J1" s="154"/>
      <c r="K1" s="154"/>
      <c r="L1" s="154"/>
      <c r="M1" s="154"/>
      <c r="N1" s="154"/>
      <c r="O1" s="154"/>
    </row>
    <row r="2" spans="1:28" ht="17.5" x14ac:dyDescent="0.35">
      <c r="A2" s="289" t="str">
        <f>Input!$C$9&amp;" Taxpayer Impact Calculation Page"</f>
        <v>2025 Taxpayer Impact Calculation Page</v>
      </c>
      <c r="B2" s="289"/>
      <c r="C2" s="154"/>
      <c r="D2" s="154"/>
      <c r="E2" s="135"/>
      <c r="F2" s="136" t="s">
        <v>30</v>
      </c>
      <c r="G2" s="137"/>
      <c r="H2" s="132"/>
      <c r="I2" s="154"/>
      <c r="J2" s="154"/>
      <c r="K2" s="154"/>
      <c r="L2" s="154"/>
      <c r="M2" s="154"/>
      <c r="N2" s="154"/>
      <c r="O2" s="154"/>
    </row>
    <row r="3" spans="1:28" x14ac:dyDescent="0.3">
      <c r="A3" s="154"/>
      <c r="B3" s="154"/>
      <c r="C3" s="154"/>
      <c r="D3" s="154"/>
      <c r="E3" s="138"/>
      <c r="F3" s="139" t="s">
        <v>31</v>
      </c>
      <c r="G3" s="140"/>
      <c r="H3" s="132"/>
      <c r="I3" s="154"/>
      <c r="J3" s="154"/>
      <c r="K3" s="154"/>
      <c r="L3" s="154"/>
      <c r="M3" s="154"/>
      <c r="N3" s="154"/>
      <c r="O3" s="154"/>
    </row>
    <row r="4" spans="1:28" ht="15.5" thickBot="1" x14ac:dyDescent="0.35">
      <c r="A4" s="154"/>
      <c r="B4" s="141" t="s">
        <v>111</v>
      </c>
      <c r="C4" s="154"/>
      <c r="D4" s="154"/>
      <c r="E4" s="142"/>
      <c r="F4" s="143" t="s">
        <v>35</v>
      </c>
      <c r="G4" s="144"/>
      <c r="H4" s="132"/>
      <c r="I4" s="154"/>
      <c r="J4" s="154"/>
      <c r="K4" s="154"/>
      <c r="L4" s="154"/>
      <c r="M4" s="145" t="s">
        <v>112</v>
      </c>
      <c r="N4" s="154"/>
      <c r="O4" s="154"/>
    </row>
    <row r="5" spans="1:28" x14ac:dyDescent="0.3">
      <c r="A5" s="154"/>
      <c r="B5" s="154"/>
      <c r="C5" s="154"/>
      <c r="D5" s="154"/>
      <c r="H5" s="154"/>
      <c r="I5" s="154"/>
      <c r="J5" s="154"/>
      <c r="K5" s="154"/>
      <c r="L5" s="154"/>
      <c r="M5" s="154"/>
      <c r="N5" s="154"/>
      <c r="O5" s="154"/>
    </row>
    <row r="6" spans="1:28" ht="15" x14ac:dyDescent="0.3">
      <c r="A6" s="141" t="str">
        <f>Extension!H8</f>
        <v xml:space="preserve">Actual % Change to Existing EAV for 2025 </v>
      </c>
      <c r="B6" s="146">
        <f>Extension!I8</f>
        <v>0</v>
      </c>
      <c r="C6" s="154"/>
      <c r="D6" s="154"/>
      <c r="L6" s="147" t="str">
        <f>(Input!$C$9-1)&amp; " Fair Cash / Market Value Home"</f>
        <v>2024 Fair Cash / Market Value Home</v>
      </c>
      <c r="M6" s="148"/>
      <c r="Q6" s="149"/>
    </row>
    <row r="7" spans="1:28" ht="15" x14ac:dyDescent="0.3">
      <c r="A7" s="141" t="str">
        <f>"Actual EAV Value for "&amp; Input!C9&amp;" "</f>
        <v xml:space="preserve">Actual EAV Value for 2025 </v>
      </c>
      <c r="B7" s="151">
        <f>Input!C31*(1+Extension!I8)</f>
        <v>0</v>
      </c>
      <c r="C7" s="154"/>
      <c r="D7" s="154"/>
      <c r="I7" s="154"/>
      <c r="J7" s="154"/>
      <c r="K7" s="154"/>
      <c r="L7" s="147"/>
      <c r="M7" s="147"/>
      <c r="N7" s="154"/>
      <c r="O7" s="154"/>
      <c r="Q7" s="149"/>
      <c r="Z7" s="150">
        <f>'Tax Calculator - Calculations'!Z7</f>
        <v>3.0163000000000002</v>
      </c>
      <c r="AB7" s="150" t="s">
        <v>113</v>
      </c>
    </row>
    <row r="8" spans="1:28" ht="15" x14ac:dyDescent="0.3">
      <c r="A8" s="152"/>
      <c r="B8" s="153"/>
      <c r="C8" s="154"/>
      <c r="D8" s="154"/>
      <c r="I8" s="154"/>
      <c r="J8" s="154"/>
      <c r="K8" s="154"/>
      <c r="L8" s="147" t="str">
        <f>"Estimated "&amp;Input!C9&amp;" Fair Cash Value Home"</f>
        <v>Estimated 2025 Fair Cash Value Home</v>
      </c>
      <c r="M8" s="151">
        <f>M6*(1+B6)</f>
        <v>0</v>
      </c>
      <c r="N8" s="155" t="s">
        <v>114</v>
      </c>
      <c r="O8" s="154"/>
      <c r="Q8" s="149"/>
      <c r="X8" s="150" t="s">
        <v>105</v>
      </c>
      <c r="Y8" s="156">
        <v>0.1</v>
      </c>
      <c r="Z8" s="150">
        <f>'Tax Calculator - Calculations'!Z8</f>
        <v>3.0354999999999999</v>
      </c>
      <c r="AA8" s="150">
        <v>10000</v>
      </c>
      <c r="AB8" s="150">
        <v>10000</v>
      </c>
    </row>
    <row r="9" spans="1:28" ht="15" x14ac:dyDescent="0.3">
      <c r="A9" s="141" t="str">
        <f>Extension!H9</f>
        <v xml:space="preserve">Actual New Property for 2025 </v>
      </c>
      <c r="B9" s="151">
        <f>Extension!I9</f>
        <v>2500000</v>
      </c>
      <c r="C9" s="154"/>
      <c r="D9" s="154"/>
      <c r="I9" s="154"/>
      <c r="J9" s="154"/>
      <c r="K9" s="154"/>
      <c r="L9" s="147"/>
      <c r="M9" s="147"/>
      <c r="N9" s="155"/>
      <c r="O9" s="154"/>
      <c r="Q9" s="149"/>
      <c r="X9" s="150" t="s">
        <v>107</v>
      </c>
      <c r="Y9" s="156">
        <f>((1/3)*100)%</f>
        <v>0.33333333333333326</v>
      </c>
      <c r="Z9" s="150">
        <f>'Tax Calculator - Calculations'!Z9</f>
        <v>1</v>
      </c>
      <c r="AA9" s="150">
        <v>8000</v>
      </c>
      <c r="AB9" s="150">
        <v>6000</v>
      </c>
    </row>
    <row r="10" spans="1:28" ht="15" hidden="1" x14ac:dyDescent="0.3">
      <c r="A10" s="141"/>
      <c r="B10" s="151"/>
      <c r="C10" s="154"/>
      <c r="D10" s="154"/>
      <c r="I10" s="154"/>
      <c r="J10" s="154"/>
      <c r="K10" s="154"/>
      <c r="L10" s="147"/>
      <c r="M10" s="147"/>
      <c r="N10" s="155"/>
      <c r="O10" s="154"/>
      <c r="Q10" s="149"/>
      <c r="Y10" s="156"/>
    </row>
    <row r="11" spans="1:28" ht="15" x14ac:dyDescent="0.3">
      <c r="A11" s="141" t="str">
        <f>"Actual Total EAV Value for "&amp; Input!C9&amp;" "</f>
        <v xml:space="preserve">Actual Total EAV Value for 2025 </v>
      </c>
      <c r="B11" s="151">
        <f>B7+B9</f>
        <v>2500000</v>
      </c>
      <c r="C11" s="155" t="s">
        <v>36</v>
      </c>
      <c r="D11" s="154"/>
      <c r="I11" s="154"/>
      <c r="J11" s="154"/>
      <c r="K11" s="154"/>
      <c r="L11" s="147" t="s">
        <v>115</v>
      </c>
      <c r="M11" s="151">
        <f>M8*N11</f>
        <v>0</v>
      </c>
      <c r="N11" s="157">
        <f>IF(Input!$C$13="Cook",'Tax Calculator - Extension'!Y8,'Tax Calculator - Extension'!Y9)</f>
        <v>0.33333333333333326</v>
      </c>
      <c r="O11" s="154"/>
      <c r="X11" s="150" t="s">
        <v>110</v>
      </c>
      <c r="Y11" s="156"/>
      <c r="AA11" s="150">
        <v>8000</v>
      </c>
    </row>
    <row r="12" spans="1:28" ht="15.75" customHeight="1" x14ac:dyDescent="0.3">
      <c r="A12" s="154"/>
      <c r="B12" s="154"/>
      <c r="C12" s="154"/>
      <c r="D12" s="154"/>
      <c r="I12" s="154"/>
      <c r="J12" s="154"/>
      <c r="K12" s="154"/>
      <c r="L12" s="147" t="s">
        <v>116</v>
      </c>
      <c r="M12" s="151">
        <f>M11*N12</f>
        <v>0</v>
      </c>
      <c r="N12" s="158">
        <f>IF(Input!$C$13="Cook",'Tax Calculator - Extension'!Z8,'Tax Calculator - Extension'!Z9)</f>
        <v>1</v>
      </c>
      <c r="O12" s="154"/>
      <c r="X12" s="150" t="s">
        <v>117</v>
      </c>
      <c r="Y12" s="156"/>
      <c r="AA12" s="150">
        <v>8000</v>
      </c>
    </row>
    <row r="13" spans="1:28" ht="15" x14ac:dyDescent="0.3">
      <c r="A13" s="147" t="str">
        <f>Input!$C$9-1&amp;" Operating Rate"</f>
        <v>2024 Operating Rate</v>
      </c>
      <c r="B13" s="159" t="e">
        <f>(Input!D69/Input!C31)*100</f>
        <v>#DIV/0!</v>
      </c>
      <c r="C13" s="154"/>
      <c r="D13" s="154"/>
      <c r="I13" s="154"/>
      <c r="J13" s="154"/>
      <c r="K13" s="154"/>
      <c r="L13" s="154"/>
      <c r="M13" s="154"/>
      <c r="N13" s="154"/>
      <c r="O13" s="154"/>
      <c r="X13" s="150" t="s">
        <v>118</v>
      </c>
      <c r="Y13" s="156"/>
      <c r="AA13" s="150">
        <v>8000</v>
      </c>
    </row>
    <row r="14" spans="1:28" ht="15.5" thickBot="1" x14ac:dyDescent="0.35">
      <c r="A14" s="147" t="str">
        <f>"Estimated "&amp;Input!$C$9&amp;" Operating Rate"</f>
        <v>Estimated 2025 Operating Rate</v>
      </c>
      <c r="B14" s="159" t="e">
        <f>Extension!N37</f>
        <v>#DIV/0!</v>
      </c>
      <c r="C14" s="223"/>
      <c r="D14" s="154"/>
      <c r="I14" s="154"/>
      <c r="J14" s="154"/>
      <c r="K14" s="154"/>
      <c r="L14" s="11"/>
      <c r="M14" s="11"/>
      <c r="N14" s="290" t="s">
        <v>119</v>
      </c>
      <c r="O14" s="290"/>
      <c r="P14" s="161"/>
      <c r="X14" s="150" t="s">
        <v>106</v>
      </c>
      <c r="Y14" s="156"/>
      <c r="AA14" s="150">
        <v>8000</v>
      </c>
    </row>
    <row r="15" spans="1:28" ht="15.75" customHeight="1" x14ac:dyDescent="0.3">
      <c r="A15" s="147" t="str">
        <f>"Actual "&amp;Input!$C$9&amp;" Bond &amp; Interest Tax Rate"</f>
        <v>Actual 2025 Bond &amp; Interest Tax Rate</v>
      </c>
      <c r="B15" s="159">
        <f>((Extension!I43*(1+B17)/B11*100)+0.0000001)</f>
        <v>9.9999999999999995E-8</v>
      </c>
      <c r="C15" s="155" t="s">
        <v>120</v>
      </c>
      <c r="D15" s="154"/>
      <c r="E15" s="291" t="s">
        <v>135</v>
      </c>
      <c r="F15" s="292"/>
      <c r="G15" s="293"/>
      <c r="I15" s="154"/>
      <c r="J15" s="154"/>
      <c r="K15" s="154"/>
      <c r="L15" s="147" t="s">
        <v>150</v>
      </c>
      <c r="M15" s="160">
        <f>IF(Input!$C$13="Cook",'Tax Calculator - Extension'!AA8,IF(Input!$C$13="DuPage",'Tax Calculator - Extension'!AA9,IF(Input!C13="Lake",'Tax Calculator - Extension'!AA11,IF(Input!C13="McHenry",'Tax Calculator - Extension'!AA12,IF(Input!C13="Kane",'Tax Calculator - Extension'!AA13,IF(Input!C13="Will",'Tax Calculator - Extension'!AA14,AA15))))))</f>
        <v>6000</v>
      </c>
      <c r="N15" s="290"/>
      <c r="O15" s="290"/>
      <c r="P15" s="161"/>
      <c r="AA15" s="150">
        <v>6000</v>
      </c>
    </row>
    <row r="16" spans="1:28" ht="15" x14ac:dyDescent="0.3">
      <c r="A16" s="147"/>
      <c r="B16" s="147"/>
      <c r="C16" s="147"/>
      <c r="D16" s="147"/>
      <c r="E16" s="294"/>
      <c r="F16" s="295"/>
      <c r="G16" s="296"/>
      <c r="I16" s="154"/>
      <c r="J16" s="154"/>
      <c r="K16" s="154"/>
      <c r="L16" s="154"/>
      <c r="M16" s="154"/>
      <c r="N16" s="162"/>
      <c r="O16" s="162"/>
    </row>
    <row r="17" spans="1:28" ht="15.5" thickBot="1" x14ac:dyDescent="0.35">
      <c r="A17" s="147" t="s">
        <v>121</v>
      </c>
      <c r="B17" s="163"/>
      <c r="C17" s="155"/>
      <c r="E17" s="297"/>
      <c r="F17" s="298"/>
      <c r="G17" s="299"/>
      <c r="I17" s="154"/>
      <c r="J17" s="154"/>
      <c r="K17" s="154"/>
      <c r="L17" s="147" t="s">
        <v>122</v>
      </c>
      <c r="M17" s="160">
        <f>M12-M15</f>
        <v>-6000</v>
      </c>
      <c r="N17" s="164"/>
      <c r="O17" s="165"/>
    </row>
    <row r="18" spans="1:28" ht="12.75" customHeight="1" x14ac:dyDescent="0.3">
      <c r="I18" s="154"/>
      <c r="J18" s="154"/>
      <c r="K18" s="154"/>
      <c r="L18" s="154"/>
      <c r="M18" s="154"/>
      <c r="N18" s="154"/>
      <c r="O18" s="154"/>
    </row>
    <row r="19" spans="1:28" ht="15" x14ac:dyDescent="0.3">
      <c r="A19" s="147" t="s">
        <v>123</v>
      </c>
      <c r="B19" s="166"/>
      <c r="C19" s="167" t="s">
        <v>124</v>
      </c>
      <c r="I19" s="154"/>
      <c r="J19" s="154"/>
      <c r="K19" s="154"/>
      <c r="L19" s="147" t="str">
        <f>"Estimated Change in Tax Payment for "&amp; Input!C9</f>
        <v>Estimated Change in Tax Payment for 2025</v>
      </c>
      <c r="M19" s="160" t="e">
        <f>(M17*(B27)/100)-(((((M6*N11)*IF(Input!C13="Cook",Z7,Z9))-M15)*(B28)/100))</f>
        <v>#DIV/0!</v>
      </c>
      <c r="N19" s="154"/>
      <c r="O19" s="154"/>
    </row>
    <row r="20" spans="1:28" ht="15" x14ac:dyDescent="0.3">
      <c r="A20" s="147" t="s">
        <v>125</v>
      </c>
      <c r="B20" s="159">
        <f>((B19*(1+B17))/B11*100)</f>
        <v>0</v>
      </c>
      <c r="C20" s="167" t="s">
        <v>126</v>
      </c>
      <c r="D20" s="154"/>
      <c r="E20" s="154"/>
      <c r="F20" s="154"/>
      <c r="G20" s="154"/>
      <c r="H20" s="154"/>
      <c r="I20" s="154"/>
      <c r="J20" s="154"/>
      <c r="K20" s="154"/>
      <c r="L20" s="154"/>
      <c r="M20" s="154"/>
      <c r="N20" s="154"/>
      <c r="O20" s="154"/>
    </row>
    <row r="21" spans="1:28" ht="15.75" customHeight="1" x14ac:dyDescent="0.3">
      <c r="A21" s="147"/>
      <c r="B21" s="147"/>
      <c r="C21" s="167"/>
      <c r="D21" s="154"/>
      <c r="E21" s="154"/>
      <c r="F21" s="154"/>
      <c r="G21" s="154"/>
      <c r="H21" s="154"/>
      <c r="I21" s="168" t="str">
        <f>"Note, the calculator is intended to estimate the "&amp;Input!C11&amp;" portion of the tax bill."</f>
        <v>Note, the calculator is intended to estimate the  portion of the tax bill.</v>
      </c>
      <c r="J21" s="168"/>
      <c r="K21" s="168"/>
      <c r="L21" s="168"/>
      <c r="M21" s="168"/>
      <c r="N21" s="168"/>
      <c r="O21" s="154"/>
    </row>
    <row r="22" spans="1:28" ht="15.75" customHeight="1" x14ac:dyDescent="0.3">
      <c r="A22" s="147" t="str">
        <f>"Net "&amp;Input!$C$9&amp;" B&amp;I Tax Rate"</f>
        <v>Net 2025 B&amp;I Tax Rate</v>
      </c>
      <c r="B22" s="159">
        <f>(IF(B15&gt;B20,B15-B20,"Check Abatement"))</f>
        <v>9.9999999999999995E-8</v>
      </c>
      <c r="C22" s="154"/>
      <c r="D22" s="154"/>
      <c r="E22" s="154"/>
      <c r="F22" s="154"/>
      <c r="G22" s="154"/>
      <c r="H22" s="154"/>
      <c r="I22" s="300" t="s">
        <v>160</v>
      </c>
      <c r="J22" s="300"/>
      <c r="K22" s="300"/>
      <c r="L22" s="300"/>
      <c r="M22" s="300"/>
      <c r="N22" s="300"/>
      <c r="O22" s="300"/>
    </row>
    <row r="23" spans="1:28" ht="18.75" customHeight="1" x14ac:dyDescent="0.3">
      <c r="A23" s="147"/>
      <c r="B23" s="147"/>
      <c r="C23" s="167"/>
      <c r="D23" s="154"/>
      <c r="E23" s="154"/>
      <c r="F23" s="154"/>
      <c r="G23" s="154"/>
      <c r="H23" s="154"/>
      <c r="I23" s="300"/>
      <c r="J23" s="300"/>
      <c r="K23" s="300"/>
      <c r="L23" s="300"/>
      <c r="M23" s="300"/>
      <c r="N23" s="300"/>
      <c r="O23" s="300"/>
    </row>
    <row r="24" spans="1:28" s="134" customFormat="1" ht="16.5" customHeight="1" x14ac:dyDescent="0.3">
      <c r="A24" s="147" t="str">
        <f>"Actual "&amp;Input!$C$9&amp;" Special Recreation Rate"</f>
        <v>Actual 2025 Special Recreation Rate</v>
      </c>
      <c r="B24" s="160">
        <f>Extension!$J39</f>
        <v>0</v>
      </c>
      <c r="C24" s="167"/>
      <c r="D24" s="154"/>
      <c r="E24" s="154"/>
      <c r="F24" s="154"/>
      <c r="G24" s="154"/>
      <c r="H24" s="154"/>
      <c r="I24" s="300"/>
      <c r="J24" s="300"/>
      <c r="K24" s="300"/>
      <c r="L24" s="300"/>
      <c r="M24" s="300"/>
      <c r="N24" s="300"/>
      <c r="O24" s="300"/>
      <c r="X24" s="150"/>
      <c r="Y24" s="150"/>
      <c r="Z24" s="150"/>
      <c r="AA24" s="150"/>
      <c r="AB24" s="150"/>
    </row>
    <row r="25" spans="1:28" s="134" customFormat="1" ht="16.5" customHeight="1" x14ac:dyDescent="0.3">
      <c r="A25" s="196" t="str">
        <f>"Actual "&amp;Input!$C$9&amp;" Museum Rate"</f>
        <v>Actual 2025 Museum Rate</v>
      </c>
      <c r="B25" s="224" t="e">
        <f>Extension!$J41</f>
        <v>#REF!</v>
      </c>
      <c r="C25" s="167"/>
      <c r="D25" s="154"/>
      <c r="E25" s="154"/>
      <c r="F25" s="154"/>
      <c r="G25" s="154"/>
      <c r="H25" s="154"/>
      <c r="I25" s="168"/>
      <c r="J25" s="168"/>
      <c r="K25" s="168"/>
      <c r="L25" s="168"/>
      <c r="M25" s="168"/>
      <c r="N25" s="168"/>
      <c r="O25" s="168"/>
      <c r="X25" s="150"/>
      <c r="Y25" s="150"/>
      <c r="Z25" s="150"/>
      <c r="AA25" s="150"/>
      <c r="AB25" s="150"/>
    </row>
    <row r="26" spans="1:28" s="134" customFormat="1" x14ac:dyDescent="0.3">
      <c r="A26" s="154"/>
      <c r="B26" s="170"/>
      <c r="C26" s="154"/>
      <c r="D26" s="154"/>
      <c r="E26" s="154"/>
      <c r="F26" s="154"/>
      <c r="G26" s="154"/>
      <c r="H26" s="154"/>
      <c r="I26" s="168"/>
      <c r="J26" s="168"/>
      <c r="K26" s="168"/>
      <c r="L26" s="168"/>
      <c r="M26" s="168"/>
      <c r="N26" s="168"/>
      <c r="O26" s="168"/>
      <c r="X26" s="150"/>
      <c r="Y26" s="150"/>
      <c r="Z26" s="150"/>
      <c r="AA26" s="150"/>
      <c r="AB26" s="150"/>
    </row>
    <row r="27" spans="1:28" s="134" customFormat="1" ht="15" x14ac:dyDescent="0.3">
      <c r="A27" s="147" t="str">
        <f>"Total "&amp;Input!$C$9&amp;" Tax Rate"</f>
        <v>Total 2025 Tax Rate</v>
      </c>
      <c r="B27" s="159" t="e">
        <f>B22+B14+B24</f>
        <v>#DIV/0!</v>
      </c>
      <c r="C27" s="154"/>
      <c r="D27" s="154"/>
      <c r="E27" s="154"/>
      <c r="F27" s="154"/>
      <c r="G27" s="154"/>
      <c r="H27" s="154"/>
      <c r="I27" s="168"/>
      <c r="J27" s="168"/>
      <c r="K27" s="168"/>
      <c r="L27" s="168"/>
      <c r="M27" s="168"/>
      <c r="N27" s="168"/>
      <c r="O27" s="168"/>
      <c r="X27" s="150"/>
      <c r="Y27" s="150"/>
      <c r="Z27" s="150"/>
      <c r="AA27" s="150"/>
      <c r="AB27" s="150"/>
    </row>
    <row r="28" spans="1:28" s="134" customFormat="1" ht="15" x14ac:dyDescent="0.3">
      <c r="A28" s="147" t="s">
        <v>127</v>
      </c>
      <c r="B28" s="159" t="e">
        <f>Input!D77/Input!C31*100</f>
        <v>#DIV/0!</v>
      </c>
      <c r="C28" s="154"/>
      <c r="D28" s="154"/>
      <c r="E28" s="154"/>
      <c r="F28" s="154"/>
      <c r="G28" s="154"/>
      <c r="H28" s="154"/>
      <c r="I28" s="171"/>
      <c r="J28" s="171"/>
      <c r="K28" s="171"/>
      <c r="L28" s="171"/>
      <c r="M28" s="171"/>
      <c r="N28" s="171"/>
      <c r="O28" s="169"/>
      <c r="X28" s="150"/>
      <c r="Y28" s="150"/>
      <c r="Z28" s="150"/>
      <c r="AA28" s="150"/>
      <c r="AB28" s="150"/>
    </row>
    <row r="29" spans="1:28" s="134" customFormat="1" ht="15" x14ac:dyDescent="0.3">
      <c r="A29" s="147"/>
      <c r="B29" s="147"/>
      <c r="C29" s="154"/>
      <c r="D29" s="154"/>
      <c r="E29" s="154"/>
      <c r="F29" s="154"/>
      <c r="G29" s="154"/>
      <c r="H29" s="154"/>
      <c r="I29" s="171"/>
      <c r="J29" s="171"/>
      <c r="K29" s="171"/>
      <c r="L29" s="171"/>
      <c r="M29" s="171"/>
      <c r="N29" s="171"/>
      <c r="O29" s="169"/>
      <c r="X29" s="150"/>
      <c r="Y29" s="150"/>
      <c r="Z29" s="150"/>
      <c r="AA29" s="150"/>
      <c r="AB29" s="150"/>
    </row>
    <row r="30" spans="1:28" s="134" customFormat="1" hidden="1" x14ac:dyDescent="0.3">
      <c r="X30" s="150"/>
      <c r="Y30" s="150"/>
      <c r="Z30" s="150"/>
      <c r="AA30" s="150"/>
      <c r="AB30" s="150"/>
    </row>
    <row r="31" spans="1:28" s="134" customFormat="1" hidden="1" x14ac:dyDescent="0.3">
      <c r="X31" s="150"/>
      <c r="Y31" s="150"/>
      <c r="Z31" s="150"/>
      <c r="AA31" s="150"/>
      <c r="AB31" s="150"/>
    </row>
    <row r="32" spans="1:28" s="134" customFormat="1" hidden="1" x14ac:dyDescent="0.3">
      <c r="X32" s="150"/>
      <c r="Y32" s="150"/>
      <c r="Z32" s="150"/>
      <c r="AA32" s="150"/>
      <c r="AB32" s="150"/>
    </row>
    <row r="33" spans="24:28" s="134" customFormat="1" hidden="1" x14ac:dyDescent="0.3">
      <c r="X33" s="150"/>
      <c r="Y33" s="150"/>
      <c r="Z33" s="150"/>
      <c r="AA33" s="150"/>
      <c r="AB33" s="150"/>
    </row>
    <row r="34" spans="24:28" s="134" customFormat="1" hidden="1" x14ac:dyDescent="0.3">
      <c r="X34" s="150"/>
      <c r="Y34" s="150"/>
      <c r="Z34" s="150"/>
      <c r="AA34" s="150"/>
      <c r="AB34" s="150"/>
    </row>
    <row r="35" spans="24:28" s="134" customFormat="1" hidden="1" x14ac:dyDescent="0.3">
      <c r="X35" s="150"/>
      <c r="Y35" s="150"/>
      <c r="Z35" s="150"/>
      <c r="AA35" s="150"/>
      <c r="AB35" s="150"/>
    </row>
    <row r="36" spans="24:28" s="134" customFormat="1" hidden="1" x14ac:dyDescent="0.3">
      <c r="X36" s="150"/>
      <c r="Y36" s="150"/>
      <c r="Z36" s="150"/>
      <c r="AA36" s="150"/>
      <c r="AB36" s="150"/>
    </row>
    <row r="37" spans="24:28" s="134" customFormat="1" hidden="1" x14ac:dyDescent="0.3">
      <c r="X37" s="150"/>
      <c r="Y37" s="150"/>
      <c r="Z37" s="150"/>
      <c r="AA37" s="150"/>
      <c r="AB37" s="150"/>
    </row>
    <row r="38" spans="24:28" s="134" customFormat="1" hidden="1" x14ac:dyDescent="0.3">
      <c r="X38" s="150"/>
      <c r="Y38" s="150"/>
      <c r="Z38" s="150"/>
      <c r="AA38" s="150"/>
      <c r="AB38" s="150"/>
    </row>
    <row r="39" spans="24:28" s="134" customFormat="1" hidden="1" x14ac:dyDescent="0.3">
      <c r="X39" s="150"/>
      <c r="Y39" s="150"/>
      <c r="Z39" s="150"/>
      <c r="AA39" s="150"/>
      <c r="AB39" s="150"/>
    </row>
    <row r="40" spans="24:28" s="134" customFormat="1" hidden="1" x14ac:dyDescent="0.3">
      <c r="X40" s="150"/>
      <c r="Y40" s="150"/>
      <c r="Z40" s="150"/>
      <c r="AA40" s="150"/>
      <c r="AB40" s="150"/>
    </row>
    <row r="41" spans="24:28" s="134" customFormat="1" hidden="1" x14ac:dyDescent="0.3">
      <c r="X41" s="150"/>
      <c r="Y41" s="150"/>
      <c r="Z41" s="150"/>
      <c r="AA41" s="150"/>
      <c r="AB41" s="150"/>
    </row>
    <row r="42" spans="24:28" s="134" customFormat="1" hidden="1" x14ac:dyDescent="0.3">
      <c r="X42" s="150"/>
      <c r="Y42" s="150"/>
      <c r="Z42" s="150"/>
      <c r="AA42" s="150"/>
      <c r="AB42" s="150"/>
    </row>
    <row r="43" spans="24:28" s="134" customFormat="1" hidden="1" x14ac:dyDescent="0.3">
      <c r="X43" s="150"/>
      <c r="Y43" s="150"/>
      <c r="Z43" s="150"/>
      <c r="AA43" s="150"/>
      <c r="AB43" s="150"/>
    </row>
    <row r="44" spans="24:28" s="134" customFormat="1" hidden="1" x14ac:dyDescent="0.3">
      <c r="X44" s="150"/>
      <c r="Y44" s="150"/>
      <c r="Z44" s="150"/>
      <c r="AA44" s="150"/>
      <c r="AB44" s="150"/>
    </row>
    <row r="45" spans="24:28" s="134" customFormat="1" hidden="1" x14ac:dyDescent="0.3">
      <c r="X45" s="150"/>
      <c r="Y45" s="150"/>
      <c r="Z45" s="150"/>
      <c r="AA45" s="150"/>
      <c r="AB45" s="150"/>
    </row>
    <row r="46" spans="24:28" s="134" customFormat="1" hidden="1" x14ac:dyDescent="0.3">
      <c r="X46" s="150"/>
      <c r="Y46" s="150"/>
      <c r="Z46" s="150"/>
      <c r="AA46" s="150"/>
      <c r="AB46" s="150"/>
    </row>
    <row r="47" spans="24:28" s="134" customFormat="1" hidden="1" x14ac:dyDescent="0.3">
      <c r="X47" s="150"/>
      <c r="Y47" s="150"/>
      <c r="Z47" s="150"/>
      <c r="AA47" s="150"/>
      <c r="AB47" s="150"/>
    </row>
    <row r="48" spans="24:28" s="134" customFormat="1" hidden="1" x14ac:dyDescent="0.3">
      <c r="X48" s="150"/>
      <c r="Y48" s="150"/>
      <c r="Z48" s="150"/>
      <c r="AA48" s="150"/>
      <c r="AB48" s="150"/>
    </row>
    <row r="49" spans="24:28" s="134" customFormat="1" hidden="1" x14ac:dyDescent="0.3">
      <c r="X49" s="150"/>
      <c r="Y49" s="150"/>
      <c r="Z49" s="150"/>
      <c r="AA49" s="150"/>
      <c r="AB49" s="150"/>
    </row>
    <row r="50" spans="24:28" s="134" customFormat="1" hidden="1" x14ac:dyDescent="0.3">
      <c r="X50" s="150"/>
      <c r="Y50" s="150"/>
      <c r="Z50" s="150"/>
      <c r="AA50" s="150"/>
      <c r="AB50" s="150"/>
    </row>
    <row r="51" spans="24:28" s="134" customFormat="1" hidden="1" x14ac:dyDescent="0.3">
      <c r="X51" s="150"/>
      <c r="Y51" s="150"/>
      <c r="Z51" s="150"/>
      <c r="AA51" s="150"/>
      <c r="AB51" s="150"/>
    </row>
    <row r="52" spans="24:28" s="134" customFormat="1" hidden="1" x14ac:dyDescent="0.3">
      <c r="X52" s="150"/>
      <c r="Y52" s="150"/>
      <c r="Z52" s="150"/>
      <c r="AA52" s="150"/>
      <c r="AB52" s="150"/>
    </row>
    <row r="53" spans="24:28" s="134" customFormat="1" hidden="1" x14ac:dyDescent="0.3">
      <c r="X53" s="150"/>
      <c r="Y53" s="150"/>
      <c r="Z53" s="150"/>
      <c r="AA53" s="150"/>
      <c r="AB53" s="150"/>
    </row>
    <row r="54" spans="24:28" s="134" customFormat="1" hidden="1" x14ac:dyDescent="0.3">
      <c r="X54" s="150"/>
      <c r="Y54" s="150"/>
      <c r="Z54" s="150"/>
      <c r="AA54" s="150"/>
      <c r="AB54" s="150"/>
    </row>
    <row r="55" spans="24:28" s="134" customFormat="1" hidden="1" x14ac:dyDescent="0.3">
      <c r="X55" s="150"/>
      <c r="Y55" s="150"/>
      <c r="Z55" s="150"/>
      <c r="AA55" s="150"/>
      <c r="AB55" s="150"/>
    </row>
    <row r="56" spans="24:28" s="134" customFormat="1" hidden="1" x14ac:dyDescent="0.3">
      <c r="X56" s="150"/>
      <c r="Y56" s="150"/>
      <c r="Z56" s="150"/>
      <c r="AA56" s="150"/>
      <c r="AB56" s="150"/>
    </row>
    <row r="57" spans="24:28" s="134" customFormat="1" hidden="1" x14ac:dyDescent="0.3">
      <c r="X57" s="150"/>
      <c r="Y57" s="150"/>
      <c r="Z57" s="150"/>
      <c r="AA57" s="150"/>
      <c r="AB57" s="150"/>
    </row>
    <row r="58" spans="24:28" s="134" customFormat="1" hidden="1" x14ac:dyDescent="0.3">
      <c r="X58" s="150"/>
      <c r="Y58" s="150"/>
      <c r="Z58" s="150"/>
      <c r="AA58" s="150"/>
      <c r="AB58" s="150"/>
    </row>
    <row r="59" spans="24:28" s="134" customFormat="1" hidden="1" x14ac:dyDescent="0.3">
      <c r="X59" s="150"/>
      <c r="Y59" s="150"/>
      <c r="Z59" s="150"/>
      <c r="AA59" s="150"/>
      <c r="AB59" s="150"/>
    </row>
    <row r="60" spans="24:28" s="134" customFormat="1" hidden="1" x14ac:dyDescent="0.3">
      <c r="X60" s="150"/>
      <c r="Y60" s="150"/>
      <c r="Z60" s="150"/>
      <c r="AA60" s="150"/>
      <c r="AB60" s="150"/>
    </row>
    <row r="61" spans="24:28" s="134" customFormat="1" hidden="1" x14ac:dyDescent="0.3">
      <c r="X61" s="150"/>
      <c r="Y61" s="150"/>
      <c r="Z61" s="150"/>
      <c r="AA61" s="150"/>
      <c r="AB61" s="150"/>
    </row>
    <row r="62" spans="24:28" s="134" customFormat="1" hidden="1" x14ac:dyDescent="0.3">
      <c r="X62" s="150"/>
      <c r="Y62" s="150"/>
      <c r="Z62" s="150"/>
      <c r="AA62" s="150"/>
      <c r="AB62" s="150"/>
    </row>
    <row r="63" spans="24:28" s="134" customFormat="1" hidden="1" x14ac:dyDescent="0.3">
      <c r="X63" s="150"/>
      <c r="Y63" s="150"/>
      <c r="Z63" s="150"/>
      <c r="AA63" s="150"/>
      <c r="AB63" s="150"/>
    </row>
    <row r="64" spans="24:28" s="134" customFormat="1" hidden="1" x14ac:dyDescent="0.3">
      <c r="X64" s="150"/>
      <c r="Y64" s="150"/>
      <c r="Z64" s="150"/>
      <c r="AA64" s="150"/>
      <c r="AB64" s="150"/>
    </row>
    <row r="65" spans="24:28" s="134" customFormat="1" hidden="1" x14ac:dyDescent="0.3">
      <c r="X65" s="150"/>
      <c r="Y65" s="150"/>
      <c r="Z65" s="150"/>
      <c r="AA65" s="150"/>
      <c r="AB65" s="150"/>
    </row>
    <row r="66" spans="24:28" s="134" customFormat="1" hidden="1" x14ac:dyDescent="0.3">
      <c r="X66" s="150"/>
      <c r="Y66" s="150"/>
      <c r="Z66" s="150"/>
      <c r="AA66" s="150"/>
      <c r="AB66" s="150"/>
    </row>
    <row r="67" spans="24:28" s="134" customFormat="1" hidden="1" x14ac:dyDescent="0.3">
      <c r="X67" s="150"/>
      <c r="Y67" s="150"/>
      <c r="Z67" s="150"/>
      <c r="AA67" s="150"/>
      <c r="AB67" s="150"/>
    </row>
    <row r="68" spans="24:28" s="134" customFormat="1" hidden="1" x14ac:dyDescent="0.3">
      <c r="X68" s="150"/>
      <c r="Y68" s="150"/>
      <c r="Z68" s="150"/>
      <c r="AA68" s="150"/>
      <c r="AB68" s="150"/>
    </row>
    <row r="69" spans="24:28" s="134" customFormat="1" hidden="1" x14ac:dyDescent="0.3">
      <c r="X69" s="150"/>
      <c r="Y69" s="150"/>
      <c r="Z69" s="150"/>
      <c r="AA69" s="150"/>
      <c r="AB69" s="150"/>
    </row>
    <row r="70" spans="24:28" s="134" customFormat="1" hidden="1" x14ac:dyDescent="0.3">
      <c r="X70" s="150"/>
      <c r="Y70" s="150"/>
      <c r="Z70" s="150"/>
      <c r="AA70" s="150"/>
      <c r="AB70" s="150"/>
    </row>
    <row r="71" spans="24:28" s="134" customFormat="1" hidden="1" x14ac:dyDescent="0.3">
      <c r="X71" s="150"/>
      <c r="Y71" s="150"/>
      <c r="Z71" s="150"/>
      <c r="AA71" s="150"/>
      <c r="AB71" s="150"/>
    </row>
    <row r="72" spans="24:28" s="134" customFormat="1" hidden="1" x14ac:dyDescent="0.3">
      <c r="X72" s="150"/>
      <c r="Y72" s="150"/>
      <c r="Z72" s="150"/>
      <c r="AA72" s="150"/>
      <c r="AB72" s="150"/>
    </row>
    <row r="73" spans="24:28" s="134" customFormat="1" hidden="1" x14ac:dyDescent="0.3">
      <c r="X73" s="150"/>
      <c r="Y73" s="150"/>
      <c r="Z73" s="150"/>
      <c r="AA73" s="150"/>
      <c r="AB73" s="150"/>
    </row>
    <row r="74" spans="24:28" s="134" customFormat="1" hidden="1" x14ac:dyDescent="0.3">
      <c r="X74" s="150"/>
      <c r="Y74" s="150"/>
      <c r="Z74" s="150"/>
      <c r="AA74" s="150"/>
      <c r="AB74" s="150"/>
    </row>
    <row r="75" spans="24:28" s="134" customFormat="1" hidden="1" x14ac:dyDescent="0.3">
      <c r="X75" s="150"/>
      <c r="Y75" s="150"/>
      <c r="Z75" s="150"/>
      <c r="AA75" s="150"/>
      <c r="AB75" s="150"/>
    </row>
    <row r="76" spans="24:28" s="134" customFormat="1" hidden="1" x14ac:dyDescent="0.3">
      <c r="X76" s="150"/>
      <c r="Y76" s="150"/>
      <c r="Z76" s="150"/>
      <c r="AA76" s="150"/>
      <c r="AB76" s="150"/>
    </row>
    <row r="77" spans="24:28" s="134" customFormat="1" hidden="1" x14ac:dyDescent="0.3">
      <c r="X77" s="150"/>
      <c r="Y77" s="150"/>
      <c r="Z77" s="150"/>
      <c r="AA77" s="150"/>
      <c r="AB77" s="150"/>
    </row>
    <row r="78" spans="24:28" s="134" customFormat="1" hidden="1" x14ac:dyDescent="0.3">
      <c r="X78" s="150"/>
      <c r="Y78" s="150"/>
      <c r="Z78" s="150"/>
      <c r="AA78" s="150"/>
      <c r="AB78" s="150"/>
    </row>
    <row r="79" spans="24:28" s="134" customFormat="1" hidden="1" x14ac:dyDescent="0.3">
      <c r="X79" s="150"/>
      <c r="Y79" s="150"/>
      <c r="Z79" s="150"/>
      <c r="AA79" s="150"/>
      <c r="AB79" s="150"/>
    </row>
    <row r="80" spans="24:28" s="134" customFormat="1" hidden="1" x14ac:dyDescent="0.3">
      <c r="X80" s="150"/>
      <c r="Y80" s="150"/>
      <c r="Z80" s="150"/>
      <c r="AA80" s="150"/>
      <c r="AB80" s="150"/>
    </row>
    <row r="81" spans="1:28" s="134" customFormat="1" hidden="1" x14ac:dyDescent="0.3">
      <c r="X81" s="150"/>
      <c r="Y81" s="150"/>
      <c r="Z81" s="150"/>
      <c r="AA81" s="150"/>
      <c r="AB81" s="150"/>
    </row>
    <row r="82" spans="1:28" s="134" customFormat="1" hidden="1" x14ac:dyDescent="0.3">
      <c r="X82" s="150"/>
      <c r="Y82" s="150"/>
      <c r="Z82" s="150"/>
      <c r="AA82" s="150"/>
      <c r="AB82" s="150"/>
    </row>
    <row r="83" spans="1:28" s="134" customFormat="1" hidden="1" x14ac:dyDescent="0.3">
      <c r="X83" s="150"/>
      <c r="Y83" s="150"/>
      <c r="Z83" s="150"/>
      <c r="AA83" s="150"/>
      <c r="AB83" s="150"/>
    </row>
    <row r="84" spans="1:28" s="134" customFormat="1" hidden="1" x14ac:dyDescent="0.3">
      <c r="X84" s="150"/>
      <c r="Y84" s="150"/>
      <c r="Z84" s="150"/>
      <c r="AA84" s="150"/>
      <c r="AB84" s="150"/>
    </row>
    <row r="85" spans="1:28" s="134" customFormat="1" hidden="1" x14ac:dyDescent="0.3">
      <c r="X85" s="150"/>
      <c r="Y85" s="150"/>
      <c r="Z85" s="150"/>
      <c r="AA85" s="150"/>
      <c r="AB85" s="150"/>
    </row>
    <row r="86" spans="1:28" s="134" customFormat="1" hidden="1" x14ac:dyDescent="0.3">
      <c r="X86" s="150"/>
      <c r="Y86" s="150"/>
      <c r="Z86" s="150"/>
      <c r="AA86" s="150"/>
      <c r="AB86" s="150"/>
    </row>
    <row r="87" spans="1:28" s="134" customFormat="1" hidden="1" x14ac:dyDescent="0.3">
      <c r="X87" s="150"/>
      <c r="Y87" s="150"/>
      <c r="Z87" s="150"/>
      <c r="AA87" s="150"/>
      <c r="AB87" s="150"/>
    </row>
    <row r="88" spans="1:28" s="134" customFormat="1" hidden="1" x14ac:dyDescent="0.3">
      <c r="D88" s="131"/>
      <c r="E88" s="131"/>
      <c r="F88" s="131"/>
      <c r="G88" s="131"/>
      <c r="H88" s="131"/>
      <c r="X88" s="150"/>
      <c r="Y88" s="150"/>
      <c r="Z88" s="150"/>
      <c r="AA88" s="150"/>
      <c r="AB88" s="150"/>
    </row>
    <row r="89" spans="1:28" s="134" customFormat="1" hidden="1" x14ac:dyDescent="0.3">
      <c r="A89" s="131"/>
      <c r="B89" s="131"/>
      <c r="C89" s="131"/>
      <c r="D89" s="131"/>
      <c r="E89" s="131"/>
      <c r="F89" s="131"/>
      <c r="G89" s="131"/>
      <c r="H89" s="131"/>
      <c r="X89" s="150"/>
      <c r="Y89" s="150"/>
      <c r="Z89" s="150"/>
      <c r="AA89" s="150"/>
      <c r="AB89" s="150"/>
    </row>
  </sheetData>
  <sheetProtection algorithmName="SHA-512" hashValue="G+YLb5c8cMezmyuhUaqLaels5FneLyFHQh+puWJWMelf1J3+JYIcGNCy1qpFMyk0mQfBe08NSGmebEPJCca0yA==" saltValue="8YkHWNyYEBr3AOSUnbNMlQ==" spinCount="100000" sheet="1" objects="1" scenarios="1"/>
  <mergeCells count="4">
    <mergeCell ref="A2:B2"/>
    <mergeCell ref="N14:O15"/>
    <mergeCell ref="E15:G17"/>
    <mergeCell ref="I22:O24"/>
  </mergeCells>
  <conditionalFormatting sqref="A22:A25">
    <cfRule type="expression" dxfId="7" priority="5" stopIfTrue="1">
      <formula>$B$20="N/A"</formula>
    </cfRule>
  </conditionalFormatting>
  <conditionalFormatting sqref="L6:L12">
    <cfRule type="expression" dxfId="3" priority="9" stopIfTrue="1">
      <formula>$B$20="N/A"</formula>
    </cfRule>
  </conditionalFormatting>
  <conditionalFormatting sqref="L19">
    <cfRule type="expression" dxfId="2" priority="8" stopIfTrue="1">
      <formula>$B$20="N/A"</formula>
    </cfRule>
  </conditionalFormatting>
  <conditionalFormatting sqref="M7 M9:M10 A13:A17 L15 B16:D16 L17 A19:A20 A21:B21 B23 A27:A29 B29">
    <cfRule type="expression" dxfId="1" priority="6" stopIfTrue="1">
      <formula>$B$20="N/A"</formula>
    </cfRule>
  </conditionalFormatting>
  <pageMargins left="0.7" right="0.7" top="0.75" bottom="0.75" header="0.3" footer="0.3"/>
  <pageSetup orientation="portrait" horizontalDpi="200" verticalDpi="200" r:id="rId1"/>
  <ignoredErrors>
    <ignoredError sqref="B25" evalError="1"/>
  </ignoredErrors>
  <drawing r:id="rId2"/>
  <extLst>
    <ext xmlns:x14="http://schemas.microsoft.com/office/spreadsheetml/2009/9/main" uri="{78C0D931-6437-407d-A8EE-F0AAD7539E65}">
      <x14:conditionalFormattings>
        <x14:conditionalFormatting xmlns:xm="http://schemas.microsoft.com/office/excel/2006/main">
          <x14:cfRule type="expression" priority="3" id="{D7DE8779-40B2-491A-83AD-FA39268D39A9}">
            <xm:f>Input!$C$19="No"</xm:f>
            <x14:dxf>
              <font>
                <color theme="0"/>
              </font>
              <fill>
                <patternFill patternType="none">
                  <bgColor auto="1"/>
                </patternFill>
              </fill>
              <border>
                <left/>
                <right/>
                <top/>
                <bottom/>
                <vertical/>
                <horizontal/>
              </border>
            </x14:dxf>
          </x14:cfRule>
          <xm:sqref>A9:A10</xm:sqref>
        </x14:conditionalFormatting>
        <x14:conditionalFormatting xmlns:xm="http://schemas.microsoft.com/office/excel/2006/main">
          <x14:cfRule type="expression" priority="2" id="{15182CE9-BE2C-44FA-8C55-6CD7EF4FA30E}">
            <xm:f>Input!$C$19="No"</xm:f>
            <x14:dxf>
              <font>
                <color theme="0"/>
              </font>
              <fill>
                <patternFill patternType="none">
                  <bgColor auto="1"/>
                </patternFill>
              </fill>
              <border>
                <left/>
                <right/>
                <top/>
                <bottom/>
                <vertical/>
                <horizontal/>
              </border>
            </x14:dxf>
          </x14:cfRule>
          <xm:sqref>B9</xm:sqref>
        </x14:conditionalFormatting>
        <x14:conditionalFormatting xmlns:xm="http://schemas.microsoft.com/office/excel/2006/main">
          <x14:cfRule type="cellIs" priority="4" operator="between" id="{187FA7CF-A0FA-4C5A-ADE8-4E0EA23EAD23}">
            <xm:f>0</xm:f>
            <xm:f>Extension!$I$43</xm:f>
            <x14:dxf>
              <fill>
                <patternFill>
                  <bgColor rgb="FFCCFFCC"/>
                </patternFill>
              </fill>
            </x14:dxf>
          </x14:cfRule>
          <xm:sqref>B19</xm:sqref>
        </x14:conditionalFormatting>
        <x14:conditionalFormatting xmlns:xm="http://schemas.microsoft.com/office/excel/2006/main">
          <x14:cfRule type="expression" priority="1" id="{938D9FF9-7C1B-4444-948D-758CE4F4339F}">
            <xm:f>Input!$C$19="No"</xm:f>
            <x14:dxf>
              <font>
                <color theme="0"/>
              </font>
            </x14:dxf>
          </x14:cfRule>
          <xm:sqref>C11</xm:sqref>
        </x14:conditionalFormatting>
      </x14:conditionalFormattings>
    </ext>
  </extLs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12ACF7-33E4-45D2-9CBF-DC76D879FE91}">
  <sheetPr>
    <tabColor theme="7" tint="0.59999389629810485"/>
    <pageSetUpPr fitToPage="1"/>
  </sheetPr>
  <dimension ref="A1:U88"/>
  <sheetViews>
    <sheetView showGridLines="0" zoomScale="115" zoomScaleNormal="115" workbookViewId="0">
      <selection activeCell="S7" sqref="S7"/>
    </sheetView>
  </sheetViews>
  <sheetFormatPr defaultColWidth="0" defaultRowHeight="15.5" zeroHeight="1" x14ac:dyDescent="0.35"/>
  <cols>
    <col min="1" max="1" width="4.6328125" style="199" customWidth="1"/>
    <col min="2" max="2" width="1.36328125" style="199" customWidth="1"/>
    <col min="3" max="3" width="6.6328125" style="199" customWidth="1"/>
    <col min="4" max="4" width="11.54296875" style="199" customWidth="1"/>
    <col min="5" max="6" width="7.6328125" style="199" customWidth="1"/>
    <col min="7" max="7" width="6" style="199" customWidth="1"/>
    <col min="8" max="8" width="12" style="199" customWidth="1"/>
    <col min="9" max="9" width="16.36328125" style="199" customWidth="1"/>
    <col min="10" max="11" width="2.6328125" style="199" customWidth="1"/>
    <col min="12" max="12" width="7.6328125" style="199" customWidth="1"/>
    <col min="13" max="13" width="6" style="199" customWidth="1"/>
    <col min="14" max="14" width="4.453125" style="199" customWidth="1"/>
    <col min="15" max="15" width="5.6328125" style="199" customWidth="1"/>
    <col min="16" max="16" width="1.36328125" style="199" customWidth="1"/>
    <col min="17" max="17" width="3.453125" style="200" customWidth="1"/>
    <col min="18" max="18" width="28.36328125" style="200" bestFit="1" customWidth="1"/>
    <col min="19" max="19" width="36.90625" style="200" customWidth="1"/>
    <col min="20" max="20" width="9.36328125" style="199" customWidth="1"/>
    <col min="21" max="21" width="9.36328125" style="199" hidden="1" customWidth="1"/>
    <col min="22" max="16384" width="0" style="199" hidden="1"/>
  </cols>
  <sheetData>
    <row r="1" spans="1:21" ht="12.5" customHeight="1" x14ac:dyDescent="0.35">
      <c r="U1" s="201"/>
    </row>
    <row r="2" spans="1:21" ht="6" customHeight="1" x14ac:dyDescent="0.35">
      <c r="B2" s="202"/>
      <c r="C2" s="202"/>
      <c r="D2" s="202"/>
      <c r="E2" s="202"/>
      <c r="F2" s="202"/>
      <c r="G2" s="202"/>
      <c r="H2" s="202"/>
      <c r="I2" s="202"/>
      <c r="J2" s="202"/>
      <c r="K2" s="202"/>
      <c r="L2" s="202"/>
      <c r="M2" s="202"/>
      <c r="N2" s="202"/>
      <c r="O2" s="202"/>
      <c r="P2" s="202"/>
      <c r="U2" s="201"/>
    </row>
    <row r="3" spans="1:21" ht="12.5" customHeight="1" x14ac:dyDescent="0.35">
      <c r="B3" s="202"/>
      <c r="P3" s="202"/>
      <c r="U3" s="201"/>
    </row>
    <row r="4" spans="1:21" ht="12.5" customHeight="1" x14ac:dyDescent="0.35">
      <c r="B4" s="202"/>
      <c r="C4" s="203"/>
      <c r="D4" s="309" t="s">
        <v>161</v>
      </c>
      <c r="E4" s="309"/>
      <c r="F4" s="309"/>
      <c r="G4" s="309"/>
      <c r="H4" s="309"/>
      <c r="I4" s="309"/>
      <c r="J4" s="309"/>
      <c r="K4" s="309"/>
      <c r="L4" s="309"/>
      <c r="M4" s="309"/>
      <c r="N4" s="203"/>
      <c r="P4" s="202"/>
    </row>
    <row r="5" spans="1:21" ht="12.5" customHeight="1" x14ac:dyDescent="0.35">
      <c r="A5" s="204"/>
      <c r="B5" s="202"/>
      <c r="C5" s="204"/>
      <c r="D5" s="309">
        <f>+S7</f>
        <v>0</v>
      </c>
      <c r="E5" s="309"/>
      <c r="F5" s="309"/>
      <c r="G5" s="309"/>
      <c r="H5" s="309"/>
      <c r="I5" s="309"/>
      <c r="J5" s="309"/>
      <c r="K5" s="309"/>
      <c r="L5" s="309"/>
      <c r="M5" s="309"/>
      <c r="N5" s="204"/>
      <c r="P5" s="202"/>
    </row>
    <row r="6" spans="1:21" x14ac:dyDescent="0.35">
      <c r="A6" s="205"/>
      <c r="B6" s="206"/>
      <c r="C6" s="205"/>
      <c r="D6" s="205"/>
      <c r="E6" s="205"/>
      <c r="F6" s="205"/>
      <c r="G6" s="205"/>
      <c r="H6" s="205"/>
      <c r="I6" s="205"/>
      <c r="J6" s="205"/>
      <c r="K6" s="205"/>
      <c r="L6" s="205"/>
      <c r="M6" s="205"/>
      <c r="N6" s="205"/>
      <c r="P6" s="202"/>
      <c r="R6" s="207" t="s">
        <v>162</v>
      </c>
      <c r="S6" s="199"/>
    </row>
    <row r="7" spans="1:21" x14ac:dyDescent="0.35">
      <c r="B7" s="208"/>
      <c r="C7" s="209" t="s">
        <v>163</v>
      </c>
      <c r="D7" s="210" t="str">
        <f>"A public hearing to approve a proposed property tax levy increase for "&amp;S7&amp;" "</f>
        <v xml:space="preserve">A public hearing to approve a proposed property tax levy increase for  </v>
      </c>
      <c r="E7" s="154"/>
      <c r="F7" s="154"/>
      <c r="G7" s="154"/>
      <c r="H7" s="154"/>
      <c r="I7" s="154"/>
      <c r="J7" s="154"/>
      <c r="K7" s="154"/>
      <c r="L7" s="154"/>
      <c r="M7" s="154"/>
      <c r="N7" s="154"/>
      <c r="O7" s="154"/>
      <c r="P7" s="202"/>
      <c r="R7" s="211" t="s">
        <v>164</v>
      </c>
      <c r="S7" s="212"/>
    </row>
    <row r="8" spans="1:21" x14ac:dyDescent="0.35">
      <c r="B8" s="208"/>
      <c r="C8" s="213"/>
      <c r="D8" s="154" t="str">
        <f>IF(Input!$C$14=0,Input!$C$13&amp;" County",IF(Input!$C$15=0,Input!$C$13&amp;" and "&amp;Input!$C$14&amp;" Counties",IF(Input!$C$16=0,Input!$C$13&amp;", "&amp;Input!$C$14&amp;" and "&amp;Input!$C$15&amp;" Counties",Input!$C$13&amp;", "&amp;Input!$C$14&amp;", "&amp;Input!$C$15&amp;" and "&amp;Input!$C$16&amp;" Counties")))&amp;", Illinois for "&amp;Input!C9&amp;" "</f>
        <v xml:space="preserve"> County, Illinois for 2025 </v>
      </c>
      <c r="E8" s="154"/>
      <c r="F8" s="154"/>
      <c r="G8" s="154"/>
      <c r="H8" s="154"/>
      <c r="I8" s="154"/>
      <c r="J8" s="154"/>
      <c r="K8" s="154"/>
      <c r="L8" s="154"/>
      <c r="M8" s="154"/>
      <c r="N8" s="154"/>
      <c r="O8" s="154"/>
      <c r="P8" s="202"/>
      <c r="R8" s="211" t="s">
        <v>165</v>
      </c>
      <c r="S8" s="230"/>
      <c r="T8" s="214" t="str">
        <f>TEXT(S8,"mmmm dd, yyyy")</f>
        <v>January 00, 1900</v>
      </c>
    </row>
    <row r="9" spans="1:21" x14ac:dyDescent="0.35">
      <c r="A9" s="215"/>
      <c r="B9" s="208"/>
      <c r="C9" s="213"/>
      <c r="D9" s="216" t="str">
        <f>"will be held on "&amp;T8&amp;" at "&amp;$S$10&amp;", "&amp;$S$11&amp;", IL "&amp;S12&amp;" at "&amp;$S$9&amp;"."</f>
        <v>will be held on January 00, 1900 at , , IL  at .</v>
      </c>
      <c r="E9" s="154"/>
      <c r="F9" s="154"/>
      <c r="G9" s="154"/>
      <c r="H9" s="154"/>
      <c r="I9" s="154"/>
      <c r="J9" s="154"/>
      <c r="K9" s="154"/>
      <c r="L9" s="154"/>
      <c r="M9" s="154"/>
      <c r="N9" s="154"/>
      <c r="O9" s="154"/>
      <c r="P9" s="202"/>
      <c r="R9" s="211" t="s">
        <v>178</v>
      </c>
      <c r="S9" s="235"/>
    </row>
    <row r="10" spans="1:21" x14ac:dyDescent="0.35">
      <c r="A10" s="215"/>
      <c r="B10" s="208"/>
      <c r="C10" s="213"/>
      <c r="D10" s="154"/>
      <c r="E10" s="154"/>
      <c r="F10" s="154"/>
      <c r="G10" s="154"/>
      <c r="H10" s="154"/>
      <c r="I10" s="154"/>
      <c r="J10" s="154"/>
      <c r="K10" s="154"/>
      <c r="L10" s="154"/>
      <c r="M10" s="154"/>
      <c r="N10" s="154"/>
      <c r="O10" s="154"/>
      <c r="P10" s="202"/>
      <c r="R10" s="211" t="s">
        <v>166</v>
      </c>
      <c r="S10" s="212"/>
    </row>
    <row r="11" spans="1:21" x14ac:dyDescent="0.35">
      <c r="A11" s="215"/>
      <c r="B11" s="217"/>
      <c r="C11" s="213"/>
      <c r="D11" s="154"/>
      <c r="E11" s="154"/>
      <c r="F11" s="154"/>
      <c r="G11" s="154"/>
      <c r="H11" s="154"/>
      <c r="I11" s="154"/>
      <c r="J11" s="154"/>
      <c r="K11" s="154"/>
      <c r="L11" s="154"/>
      <c r="M11" s="154"/>
      <c r="N11" s="154"/>
      <c r="O11" s="154"/>
      <c r="P11" s="202"/>
      <c r="R11" s="211" t="s">
        <v>167</v>
      </c>
      <c r="S11" s="212"/>
    </row>
    <row r="12" spans="1:21" x14ac:dyDescent="0.35">
      <c r="B12" s="208"/>
      <c r="C12" s="213"/>
      <c r="D12" s="154" t="s">
        <v>168</v>
      </c>
      <c r="E12" s="154"/>
      <c r="F12" s="154"/>
      <c r="G12" s="154"/>
      <c r="H12" s="154"/>
      <c r="I12" s="154"/>
      <c r="J12" s="154"/>
      <c r="K12" s="154"/>
      <c r="L12" s="154"/>
      <c r="M12" s="154"/>
      <c r="N12" s="154"/>
      <c r="O12" s="154"/>
      <c r="P12" s="202"/>
      <c r="R12" s="211" t="s">
        <v>169</v>
      </c>
      <c r="S12" s="212"/>
      <c r="U12" s="201"/>
    </row>
    <row r="13" spans="1:21" x14ac:dyDescent="0.35">
      <c r="B13" s="208"/>
      <c r="C13" s="213"/>
      <c r="D13" s="154" t="str">
        <f>"district may contact "&amp;S14&amp;" at "&amp;S15&amp;"."</f>
        <v>district may contact  at .</v>
      </c>
      <c r="E13" s="154"/>
      <c r="F13" s="154"/>
      <c r="G13" s="154"/>
      <c r="H13" s="154"/>
      <c r="I13" s="154"/>
      <c r="J13" s="154"/>
      <c r="K13" s="154"/>
      <c r="L13" s="154"/>
      <c r="M13" s="154"/>
      <c r="N13" s="154"/>
      <c r="O13" s="154"/>
      <c r="P13" s="202"/>
      <c r="R13" s="211"/>
      <c r="S13" s="218"/>
      <c r="U13" s="201"/>
    </row>
    <row r="14" spans="1:21" x14ac:dyDescent="0.35">
      <c r="B14" s="208"/>
      <c r="C14" s="213"/>
      <c r="D14" s="154"/>
      <c r="E14" s="154"/>
      <c r="F14" s="154"/>
      <c r="G14" s="154"/>
      <c r="H14" s="154"/>
      <c r="I14" s="154"/>
      <c r="J14" s="154"/>
      <c r="K14" s="154"/>
      <c r="L14" s="154"/>
      <c r="M14" s="154"/>
      <c r="N14" s="154"/>
      <c r="O14" s="154"/>
      <c r="P14" s="202"/>
      <c r="R14" s="211" t="s">
        <v>170</v>
      </c>
      <c r="S14" s="212"/>
      <c r="U14" s="201"/>
    </row>
    <row r="15" spans="1:21" x14ac:dyDescent="0.35">
      <c r="B15" s="208"/>
      <c r="C15" s="213"/>
      <c r="D15" s="154"/>
      <c r="E15" s="154"/>
      <c r="F15" s="154"/>
      <c r="G15" s="154"/>
      <c r="H15" s="154"/>
      <c r="I15" s="154"/>
      <c r="J15" s="154"/>
      <c r="K15" s="154"/>
      <c r="L15" s="154"/>
      <c r="M15" s="154"/>
      <c r="N15" s="154"/>
      <c r="O15" s="154"/>
      <c r="P15" s="202"/>
      <c r="R15" s="211" t="s">
        <v>171</v>
      </c>
      <c r="S15" s="212"/>
      <c r="U15" s="201"/>
    </row>
    <row r="16" spans="1:21" x14ac:dyDescent="0.35">
      <c r="B16" s="208"/>
      <c r="C16" s="213"/>
      <c r="D16" s="154"/>
      <c r="E16" s="154"/>
      <c r="F16" s="154"/>
      <c r="G16" s="154"/>
      <c r="H16" s="154"/>
      <c r="I16" s="154"/>
      <c r="J16" s="154"/>
      <c r="K16" s="154"/>
      <c r="L16" s="154"/>
      <c r="M16" s="154"/>
      <c r="N16" s="154"/>
      <c r="O16" s="154"/>
      <c r="P16" s="202"/>
      <c r="R16" s="231" t="s">
        <v>176</v>
      </c>
      <c r="U16" s="201"/>
    </row>
    <row r="17" spans="2:21" x14ac:dyDescent="0.35">
      <c r="B17" s="208"/>
      <c r="C17" s="209" t="s">
        <v>172</v>
      </c>
      <c r="D17" s="154" t="str">
        <f>"The corporate and special purpose property taxes extended or abated for "&amp;Input!C9-"1 "&amp;" were"</f>
        <v>The corporate and special purpose property taxes extended or abated for 2024 were</v>
      </c>
      <c r="E17" s="154"/>
      <c r="F17" s="154"/>
      <c r="G17" s="154"/>
      <c r="H17" s="154"/>
      <c r="I17" s="154"/>
      <c r="J17" s="154"/>
      <c r="K17" s="154"/>
      <c r="L17" s="154"/>
      <c r="M17" s="154"/>
      <c r="N17" s="154"/>
      <c r="O17" s="154"/>
      <c r="P17" s="202"/>
      <c r="U17" s="201"/>
    </row>
    <row r="18" spans="2:21" x14ac:dyDescent="0.35">
      <c r="B18" s="208"/>
      <c r="C18" s="213"/>
      <c r="D18" s="219">
        <f>Input!$D$69+Input!$D$71</f>
        <v>0</v>
      </c>
      <c r="E18" s="154"/>
      <c r="F18" s="154"/>
      <c r="G18" s="154"/>
      <c r="H18" s="154"/>
      <c r="I18" s="154"/>
      <c r="J18" s="154"/>
      <c r="K18" s="154"/>
      <c r="L18" s="154"/>
      <c r="M18" s="154"/>
      <c r="N18" s="154"/>
      <c r="O18" s="154"/>
      <c r="P18" s="202"/>
      <c r="U18" s="201"/>
    </row>
    <row r="19" spans="2:21" x14ac:dyDescent="0.35">
      <c r="B19" s="208"/>
      <c r="C19" s="213"/>
      <c r="D19" s="219"/>
      <c r="E19" s="154"/>
      <c r="F19" s="154"/>
      <c r="G19" s="154"/>
      <c r="H19" s="154"/>
      <c r="I19" s="154"/>
      <c r="J19" s="154"/>
      <c r="K19" s="154"/>
      <c r="L19" s="154"/>
      <c r="M19" s="154"/>
      <c r="N19" s="154"/>
      <c r="O19" s="154"/>
      <c r="P19" s="202"/>
      <c r="U19" s="201"/>
    </row>
    <row r="20" spans="2:21" x14ac:dyDescent="0.35">
      <c r="B20" s="208"/>
      <c r="C20" s="213"/>
      <c r="D20" s="154"/>
      <c r="E20" s="154"/>
      <c r="F20" s="154"/>
      <c r="G20" s="154"/>
      <c r="H20" s="154"/>
      <c r="I20" s="154"/>
      <c r="J20" s="154"/>
      <c r="K20" s="154"/>
      <c r="L20" s="154"/>
      <c r="M20" s="154"/>
      <c r="N20" s="154"/>
      <c r="O20" s="154"/>
      <c r="P20" s="202"/>
      <c r="U20" s="201"/>
    </row>
    <row r="21" spans="2:21" x14ac:dyDescent="0.35">
      <c r="B21" s="202"/>
      <c r="C21" s="213"/>
      <c r="D21" s="154" t="str">
        <f>"The proposed corporate and special purposed property taxes to be levied for "&amp;Input!C9 &amp;" are"</f>
        <v>The proposed corporate and special purposed property taxes to be levied for 2025 are</v>
      </c>
      <c r="E21" s="154"/>
      <c r="F21" s="154"/>
      <c r="G21" s="154"/>
      <c r="H21" s="154"/>
      <c r="I21" s="154"/>
      <c r="J21" s="154"/>
      <c r="K21" s="154"/>
      <c r="L21" s="154"/>
      <c r="M21" s="154"/>
      <c r="N21" s="154"/>
      <c r="O21" s="154"/>
      <c r="P21" s="202"/>
      <c r="U21" s="201"/>
    </row>
    <row r="22" spans="2:21" x14ac:dyDescent="0.35">
      <c r="B22" s="202"/>
      <c r="C22" s="213"/>
      <c r="D22" s="219" t="e">
        <f>Calculations!$J$33+Calculations!$J$37</f>
        <v>#DIV/0!</v>
      </c>
      <c r="E22" s="310" t="e">
        <f>(D22-D18)/D18</f>
        <v>#DIV/0!</v>
      </c>
      <c r="F22" s="310"/>
      <c r="G22" s="310"/>
      <c r="H22" s="310"/>
      <c r="I22" s="310"/>
      <c r="J22" s="310"/>
      <c r="K22" s="310"/>
      <c r="L22" s="310"/>
      <c r="M22" s="154"/>
      <c r="N22" s="154"/>
      <c r="O22" s="154"/>
      <c r="P22" s="202"/>
      <c r="U22" s="201"/>
    </row>
    <row r="23" spans="2:21" x14ac:dyDescent="0.35">
      <c r="B23" s="202"/>
      <c r="C23" s="213"/>
      <c r="D23" s="219"/>
      <c r="E23" s="220"/>
      <c r="F23" s="220"/>
      <c r="G23" s="220"/>
      <c r="H23" s="220"/>
      <c r="I23" s="220"/>
      <c r="J23" s="220"/>
      <c r="K23" s="220"/>
      <c r="L23" s="220"/>
      <c r="M23" s="154"/>
      <c r="N23" s="154"/>
      <c r="O23" s="154"/>
      <c r="P23" s="202"/>
      <c r="U23" s="201"/>
    </row>
    <row r="24" spans="2:21" x14ac:dyDescent="0.35">
      <c r="B24" s="202"/>
      <c r="C24" s="213"/>
      <c r="D24" s="154"/>
      <c r="E24" s="154"/>
      <c r="F24" s="154"/>
      <c r="G24" s="154"/>
      <c r="H24" s="154"/>
      <c r="I24" s="154"/>
      <c r="J24" s="154"/>
      <c r="K24" s="154"/>
      <c r="L24" s="154"/>
      <c r="M24" s="154"/>
      <c r="N24" s="154"/>
      <c r="O24" s="154"/>
      <c r="P24" s="202"/>
      <c r="U24" s="201"/>
    </row>
    <row r="25" spans="2:21" x14ac:dyDescent="0.35">
      <c r="B25" s="202"/>
      <c r="C25" s="209" t="s">
        <v>173</v>
      </c>
      <c r="D25" s="154" t="str">
        <f>"The property taxes extended for debt services and public building commission leases for "&amp;Input!C9-"1 "&amp;" were"</f>
        <v>The property taxes extended for debt services and public building commission leases for 2024 were</v>
      </c>
      <c r="E25" s="154"/>
      <c r="F25" s="154"/>
      <c r="G25" s="154"/>
      <c r="H25" s="154"/>
      <c r="I25" s="154"/>
      <c r="J25" s="154"/>
      <c r="K25" s="154"/>
      <c r="L25" s="154"/>
      <c r="M25" s="154"/>
      <c r="N25" s="154"/>
      <c r="O25" s="154"/>
      <c r="P25" s="202"/>
      <c r="U25" s="201"/>
    </row>
    <row r="26" spans="2:21" x14ac:dyDescent="0.35">
      <c r="B26" s="202"/>
      <c r="C26" s="213"/>
      <c r="D26" s="219">
        <f>Input!$D$75</f>
        <v>0</v>
      </c>
      <c r="E26" s="154"/>
      <c r="F26" s="154"/>
      <c r="G26" s="154"/>
      <c r="H26" s="154"/>
      <c r="I26" s="154"/>
      <c r="J26" s="154"/>
      <c r="K26" s="154"/>
      <c r="L26" s="154"/>
      <c r="M26" s="154"/>
      <c r="N26" s="154"/>
      <c r="O26" s="154"/>
      <c r="P26" s="202"/>
      <c r="U26" s="201"/>
    </row>
    <row r="27" spans="2:21" x14ac:dyDescent="0.35">
      <c r="B27" s="202"/>
      <c r="C27" s="213"/>
      <c r="D27" s="219"/>
      <c r="E27" s="154"/>
      <c r="F27" s="154"/>
      <c r="G27" s="154"/>
      <c r="H27" s="154"/>
      <c r="I27" s="154"/>
      <c r="J27" s="154"/>
      <c r="K27" s="154"/>
      <c r="L27" s="154"/>
      <c r="M27" s="154"/>
      <c r="N27" s="154"/>
      <c r="O27" s="154"/>
      <c r="P27" s="202"/>
      <c r="U27" s="201"/>
    </row>
    <row r="28" spans="2:21" x14ac:dyDescent="0.35">
      <c r="B28" s="202"/>
      <c r="C28" s="213"/>
      <c r="D28" s="154"/>
      <c r="E28" s="154"/>
      <c r="F28" s="154"/>
      <c r="G28" s="154"/>
      <c r="H28" s="154"/>
      <c r="I28" s="154"/>
      <c r="J28" s="154"/>
      <c r="K28" s="154"/>
      <c r="L28" s="154"/>
      <c r="M28" s="154"/>
      <c r="N28" s="154"/>
      <c r="O28" s="154"/>
      <c r="P28" s="202"/>
      <c r="U28" s="201"/>
    </row>
    <row r="29" spans="2:21" x14ac:dyDescent="0.35">
      <c r="B29" s="202"/>
      <c r="C29" s="213"/>
      <c r="D29" s="154" t="str">
        <f>"The estimated property taxes to be levied for debt service and public building commission leases for "&amp;Input!C9 &amp;" are"</f>
        <v>The estimated property taxes to be levied for debt service and public building commission leases for 2025 are</v>
      </c>
      <c r="E29" s="154"/>
      <c r="F29" s="154"/>
      <c r="G29" s="154"/>
      <c r="H29" s="154"/>
      <c r="I29" s="154"/>
      <c r="J29" s="154"/>
      <c r="K29" s="154"/>
      <c r="L29" s="154"/>
      <c r="M29" s="154"/>
      <c r="N29" s="154"/>
      <c r="O29" s="154"/>
      <c r="P29" s="202"/>
      <c r="U29" s="201"/>
    </row>
    <row r="30" spans="2:21" x14ac:dyDescent="0.35">
      <c r="B30" s="202"/>
      <c r="C30" s="213"/>
      <c r="D30" s="219">
        <f>Calculations!$J$42</f>
        <v>0</v>
      </c>
      <c r="E30" s="154"/>
      <c r="F30" s="154"/>
      <c r="G30" s="154"/>
      <c r="H30" s="154"/>
      <c r="I30" s="154"/>
      <c r="J30" s="154"/>
      <c r="K30" s="154"/>
      <c r="L30" s="154"/>
      <c r="M30" s="154"/>
      <c r="N30" s="154"/>
      <c r="O30" s="154"/>
      <c r="P30" s="202"/>
      <c r="U30" s="201"/>
    </row>
    <row r="31" spans="2:21" x14ac:dyDescent="0.35">
      <c r="B31" s="202"/>
      <c r="C31" s="213"/>
      <c r="D31" s="219"/>
      <c r="E31" s="154"/>
      <c r="F31" s="154"/>
      <c r="G31" s="154"/>
      <c r="H31" s="154"/>
      <c r="I31" s="154"/>
      <c r="J31" s="154"/>
      <c r="K31" s="154"/>
      <c r="L31" s="154"/>
      <c r="M31" s="154"/>
      <c r="N31" s="154"/>
      <c r="O31" s="154"/>
      <c r="P31" s="202"/>
      <c r="U31" s="201"/>
    </row>
    <row r="32" spans="2:21" x14ac:dyDescent="0.35">
      <c r="B32" s="202"/>
      <c r="C32" s="213"/>
      <c r="D32" s="154"/>
      <c r="E32" s="154"/>
      <c r="F32" s="154"/>
      <c r="G32" s="154"/>
      <c r="H32" s="154"/>
      <c r="I32" s="154"/>
      <c r="J32" s="154"/>
      <c r="K32" s="154"/>
      <c r="L32" s="154"/>
      <c r="M32" s="154"/>
      <c r="N32" s="154"/>
      <c r="O32" s="154"/>
      <c r="P32" s="202"/>
      <c r="U32" s="201"/>
    </row>
    <row r="33" spans="2:21" x14ac:dyDescent="0.35">
      <c r="B33" s="202"/>
      <c r="C33" s="209" t="s">
        <v>174</v>
      </c>
      <c r="D33" s="154" t="str">
        <f>"The total property taxes extended or abated for "&amp;Input!C9-"1 "&amp;" were"</f>
        <v>The total property taxes extended or abated for 2024 were</v>
      </c>
      <c r="E33" s="154"/>
      <c r="F33" s="154"/>
      <c r="G33" s="154"/>
      <c r="H33" s="154"/>
      <c r="I33" s="154"/>
      <c r="J33" s="154"/>
      <c r="K33" s="154"/>
      <c r="L33" s="154"/>
      <c r="M33" s="154"/>
      <c r="N33" s="154"/>
      <c r="O33" s="154"/>
      <c r="P33" s="202"/>
      <c r="U33" s="201"/>
    </row>
    <row r="34" spans="2:21" x14ac:dyDescent="0.35">
      <c r="B34" s="202"/>
      <c r="C34" s="154"/>
      <c r="D34" s="219">
        <f>D18+D26</f>
        <v>0</v>
      </c>
      <c r="E34" s="154"/>
      <c r="F34" s="154"/>
      <c r="G34" s="154"/>
      <c r="H34" s="154"/>
      <c r="I34" s="154"/>
      <c r="J34" s="154"/>
      <c r="K34" s="154"/>
      <c r="L34" s="154"/>
      <c r="M34" s="154"/>
      <c r="N34" s="154"/>
      <c r="O34" s="154"/>
      <c r="P34" s="202"/>
      <c r="U34" s="201"/>
    </row>
    <row r="35" spans="2:21" x14ac:dyDescent="0.35">
      <c r="B35" s="202"/>
      <c r="C35" s="154"/>
      <c r="D35" s="154"/>
      <c r="E35" s="154"/>
      <c r="F35" s="154"/>
      <c r="G35" s="154"/>
      <c r="H35" s="154"/>
      <c r="I35" s="154"/>
      <c r="J35" s="154"/>
      <c r="K35" s="154"/>
      <c r="L35" s="154"/>
      <c r="M35" s="154"/>
      <c r="N35" s="154"/>
      <c r="O35" s="154"/>
      <c r="P35" s="202"/>
      <c r="U35" s="201"/>
    </row>
    <row r="36" spans="2:21" x14ac:dyDescent="0.35">
      <c r="B36" s="202"/>
      <c r="C36" s="154"/>
      <c r="D36" s="154" t="str">
        <f>"The estimated total property taxes to be levied for "&amp;Input!C9 &amp;" are"</f>
        <v>The estimated total property taxes to be levied for 2025 are</v>
      </c>
      <c r="E36" s="154"/>
      <c r="F36" s="154"/>
      <c r="G36" s="154"/>
      <c r="H36" s="154"/>
      <c r="I36" s="154"/>
      <c r="J36" s="154"/>
      <c r="K36" s="154"/>
      <c r="L36" s="154"/>
      <c r="M36" s="154"/>
      <c r="N36" s="154"/>
      <c r="O36" s="154"/>
      <c r="P36" s="202"/>
      <c r="U36" s="201"/>
    </row>
    <row r="37" spans="2:21" x14ac:dyDescent="0.35">
      <c r="B37" s="202"/>
      <c r="C37" s="154"/>
      <c r="D37" s="219" t="e">
        <f>D30+D22</f>
        <v>#DIV/0!</v>
      </c>
      <c r="E37" s="310" t="e">
        <f>(D37-D34)/D34</f>
        <v>#DIV/0!</v>
      </c>
      <c r="F37" s="310"/>
      <c r="G37" s="310"/>
      <c r="H37" s="310"/>
      <c r="I37" s="310"/>
      <c r="J37" s="310"/>
      <c r="K37" s="310"/>
      <c r="L37" s="310"/>
      <c r="M37" s="154"/>
      <c r="N37" s="154"/>
      <c r="O37" s="154"/>
      <c r="P37" s="202"/>
      <c r="U37" s="201"/>
    </row>
    <row r="38" spans="2:21" x14ac:dyDescent="0.35">
      <c r="B38" s="202"/>
      <c r="C38" s="154"/>
      <c r="D38" s="219"/>
      <c r="E38" s="220"/>
      <c r="F38" s="220"/>
      <c r="G38" s="220"/>
      <c r="H38" s="220"/>
      <c r="I38" s="220"/>
      <c r="J38" s="220"/>
      <c r="K38" s="220"/>
      <c r="L38" s="220"/>
      <c r="M38" s="154"/>
      <c r="N38" s="154"/>
      <c r="O38" s="154"/>
      <c r="P38" s="202"/>
      <c r="U38" s="201"/>
    </row>
    <row r="39" spans="2:21" x14ac:dyDescent="0.35">
      <c r="B39" s="202"/>
      <c r="C39" s="154"/>
      <c r="D39" s="219"/>
      <c r="E39" s="220"/>
      <c r="F39" s="220"/>
      <c r="G39" s="220"/>
      <c r="H39" s="220"/>
      <c r="I39" s="220"/>
      <c r="J39" s="220"/>
      <c r="K39" s="220"/>
      <c r="L39" s="220"/>
      <c r="M39" s="154"/>
      <c r="N39" s="154"/>
      <c r="O39" s="154"/>
      <c r="P39" s="202"/>
      <c r="U39" s="201"/>
    </row>
    <row r="40" spans="2:21" x14ac:dyDescent="0.35">
      <c r="B40" s="202"/>
      <c r="C40" s="154"/>
      <c r="D40" s="219"/>
      <c r="E40" s="220"/>
      <c r="F40" s="220"/>
      <c r="G40" s="220"/>
      <c r="H40" s="220"/>
      <c r="I40" s="220"/>
      <c r="J40" s="220"/>
      <c r="K40" s="220"/>
      <c r="L40" s="220"/>
      <c r="M40" s="154"/>
      <c r="N40" s="154"/>
      <c r="O40" s="154"/>
      <c r="P40" s="202"/>
      <c r="U40" s="201"/>
    </row>
    <row r="41" spans="2:21" x14ac:dyDescent="0.35">
      <c r="B41" s="202"/>
      <c r="C41" s="154"/>
      <c r="D41" s="219"/>
      <c r="E41" s="220"/>
      <c r="F41" s="220"/>
      <c r="G41" s="220"/>
      <c r="H41" s="220"/>
      <c r="I41" s="220"/>
      <c r="J41" s="220"/>
      <c r="K41" s="220"/>
      <c r="L41" s="220"/>
      <c r="M41" s="154"/>
      <c r="N41" s="154"/>
      <c r="O41" s="154"/>
      <c r="P41" s="202"/>
      <c r="U41" s="201"/>
    </row>
    <row r="42" spans="2:21" x14ac:dyDescent="0.35">
      <c r="B42" s="202"/>
      <c r="C42" s="154"/>
      <c r="D42" s="219"/>
      <c r="E42" s="220"/>
      <c r="F42" s="220"/>
      <c r="G42" s="220"/>
      <c r="H42" s="220"/>
      <c r="I42" s="220"/>
      <c r="J42" s="220"/>
      <c r="K42" s="220"/>
      <c r="L42" s="220"/>
      <c r="M42" s="154"/>
      <c r="N42" s="154"/>
      <c r="O42" s="154"/>
      <c r="P42" s="202"/>
      <c r="U42" s="201"/>
    </row>
    <row r="43" spans="2:21" x14ac:dyDescent="0.35">
      <c r="B43" s="202"/>
      <c r="C43" s="154"/>
      <c r="D43" s="219"/>
      <c r="E43" s="220"/>
      <c r="F43" s="220"/>
      <c r="G43" s="220"/>
      <c r="H43" s="220"/>
      <c r="I43" s="220"/>
      <c r="J43" s="220"/>
      <c r="K43" s="220"/>
      <c r="L43" s="220"/>
      <c r="M43" s="154"/>
      <c r="N43" s="154"/>
      <c r="O43" s="154"/>
      <c r="P43" s="202"/>
      <c r="U43" s="201"/>
    </row>
    <row r="44" spans="2:21" x14ac:dyDescent="0.35">
      <c r="B44" s="202"/>
      <c r="C44" s="154"/>
      <c r="D44" s="219"/>
      <c r="E44" s="220"/>
      <c r="F44" s="220"/>
      <c r="G44" s="220"/>
      <c r="H44" s="220"/>
      <c r="I44" s="220"/>
      <c r="J44" s="220"/>
      <c r="K44" s="220"/>
      <c r="L44" s="220"/>
      <c r="M44" s="154"/>
      <c r="N44" s="154"/>
      <c r="O44" s="154"/>
      <c r="P44" s="202"/>
      <c r="U44" s="201"/>
    </row>
    <row r="45" spans="2:21" x14ac:dyDescent="0.35">
      <c r="B45" s="202"/>
      <c r="C45" s="154"/>
      <c r="D45" s="219"/>
      <c r="E45" s="220"/>
      <c r="F45" s="220"/>
      <c r="G45" s="220"/>
      <c r="H45" s="220"/>
      <c r="I45" s="220"/>
      <c r="J45" s="220"/>
      <c r="K45" s="220"/>
      <c r="L45" s="220"/>
      <c r="M45" s="154"/>
      <c r="N45" s="154"/>
      <c r="O45" s="154"/>
      <c r="P45" s="202"/>
      <c r="U45" s="201"/>
    </row>
    <row r="46" spans="2:21" x14ac:dyDescent="0.35">
      <c r="B46" s="202"/>
      <c r="C46" s="154"/>
      <c r="D46" s="219"/>
      <c r="E46" s="220"/>
      <c r="F46" s="220"/>
      <c r="G46" s="220"/>
      <c r="H46" s="220"/>
      <c r="I46" s="220"/>
      <c r="J46" s="220"/>
      <c r="K46" s="220"/>
      <c r="L46" s="220"/>
      <c r="M46" s="154"/>
      <c r="N46" s="154"/>
      <c r="O46" s="154"/>
      <c r="P46" s="202"/>
      <c r="U46" s="201"/>
    </row>
    <row r="47" spans="2:21" x14ac:dyDescent="0.35">
      <c r="B47" s="202"/>
      <c r="C47" s="154"/>
      <c r="D47" s="219"/>
      <c r="E47" s="220"/>
      <c r="F47" s="220"/>
      <c r="G47" s="220"/>
      <c r="H47" s="220"/>
      <c r="I47" s="220"/>
      <c r="J47" s="220"/>
      <c r="K47" s="220"/>
      <c r="L47" s="220"/>
      <c r="M47" s="154"/>
      <c r="N47" s="154"/>
      <c r="O47" s="154"/>
      <c r="P47" s="202"/>
      <c r="U47" s="201"/>
    </row>
    <row r="48" spans="2:21" x14ac:dyDescent="0.35">
      <c r="B48" s="202"/>
      <c r="C48" s="154"/>
      <c r="D48" s="219"/>
      <c r="E48" s="220"/>
      <c r="F48" s="220"/>
      <c r="G48" s="220"/>
      <c r="H48" s="220"/>
      <c r="I48" s="220"/>
      <c r="J48" s="220"/>
      <c r="K48" s="220"/>
      <c r="L48" s="220"/>
      <c r="M48" s="154"/>
      <c r="N48" s="154"/>
      <c r="O48" s="154"/>
      <c r="P48" s="202"/>
      <c r="U48" s="201"/>
    </row>
    <row r="49" spans="1:21" x14ac:dyDescent="0.35">
      <c r="B49" s="202"/>
      <c r="C49" s="154"/>
      <c r="D49" s="154"/>
      <c r="E49" s="154"/>
      <c r="F49" s="154"/>
      <c r="G49" s="154"/>
      <c r="H49" s="154"/>
      <c r="I49" s="154"/>
      <c r="J49" s="154"/>
      <c r="K49" s="154"/>
      <c r="L49" s="154"/>
      <c r="M49" s="154"/>
      <c r="N49" s="154"/>
      <c r="O49" s="154"/>
      <c r="P49" s="202"/>
      <c r="U49" s="201"/>
    </row>
    <row r="50" spans="1:21" ht="6" customHeight="1" x14ac:dyDescent="0.35">
      <c r="B50" s="202"/>
      <c r="C50" s="221"/>
      <c r="D50" s="221"/>
      <c r="E50" s="221"/>
      <c r="F50" s="221"/>
      <c r="G50" s="221"/>
      <c r="H50" s="221"/>
      <c r="I50" s="221"/>
      <c r="J50" s="221"/>
      <c r="K50" s="221"/>
      <c r="L50" s="221"/>
      <c r="M50" s="221"/>
      <c r="N50" s="221"/>
      <c r="O50" s="221"/>
      <c r="P50" s="202"/>
      <c r="U50" s="201"/>
    </row>
    <row r="51" spans="1:21" x14ac:dyDescent="0.35">
      <c r="C51" s="154"/>
      <c r="D51" s="154"/>
      <c r="E51" s="154"/>
      <c r="F51" s="154"/>
      <c r="G51" s="154"/>
      <c r="H51" s="154"/>
      <c r="I51" s="154"/>
      <c r="J51" s="154"/>
      <c r="K51" s="154"/>
      <c r="L51" s="154"/>
      <c r="M51" s="154"/>
      <c r="N51" s="154"/>
      <c r="O51" s="154"/>
      <c r="U51" s="201"/>
    </row>
    <row r="52" spans="1:21" hidden="1" x14ac:dyDescent="0.35">
      <c r="A52" s="201"/>
      <c r="B52" s="201"/>
      <c r="C52" s="131"/>
      <c r="D52" s="131"/>
      <c r="E52" s="131"/>
      <c r="F52" s="131"/>
      <c r="G52" s="131"/>
      <c r="H52" s="131"/>
      <c r="I52" s="131"/>
      <c r="J52" s="131"/>
      <c r="K52" s="131"/>
      <c r="L52" s="131"/>
      <c r="M52" s="131"/>
      <c r="N52" s="131"/>
      <c r="O52" s="131"/>
      <c r="P52" s="201"/>
      <c r="Q52" s="222"/>
      <c r="R52" s="222"/>
      <c r="S52" s="222"/>
      <c r="T52" s="201"/>
      <c r="U52" s="201"/>
    </row>
    <row r="53" spans="1:21" hidden="1" x14ac:dyDescent="0.35">
      <c r="A53" s="201"/>
      <c r="B53" s="201"/>
      <c r="C53" s="131"/>
      <c r="D53" s="131"/>
      <c r="E53" s="131"/>
      <c r="F53" s="131"/>
      <c r="G53" s="131"/>
      <c r="H53" s="131"/>
      <c r="I53" s="131"/>
      <c r="J53" s="131"/>
      <c r="K53" s="131"/>
      <c r="L53" s="131"/>
      <c r="M53" s="131"/>
      <c r="N53" s="131"/>
      <c r="O53" s="131"/>
      <c r="P53" s="201"/>
      <c r="Q53" s="222"/>
      <c r="R53" s="222"/>
      <c r="S53" s="222"/>
      <c r="T53" s="201"/>
      <c r="U53" s="201"/>
    </row>
    <row r="54" spans="1:21" hidden="1" x14ac:dyDescent="0.35">
      <c r="A54" s="201"/>
      <c r="B54" s="201"/>
      <c r="C54" s="131"/>
      <c r="D54" s="131"/>
      <c r="E54" s="131"/>
      <c r="F54" s="131"/>
      <c r="G54" s="131"/>
      <c r="H54" s="131"/>
      <c r="I54" s="131"/>
      <c r="J54" s="131"/>
      <c r="K54" s="131"/>
      <c r="L54" s="131"/>
      <c r="M54" s="131"/>
      <c r="N54" s="131"/>
      <c r="O54" s="131"/>
      <c r="P54" s="201"/>
      <c r="Q54" s="222"/>
      <c r="R54" s="222"/>
      <c r="S54" s="222"/>
      <c r="T54" s="201"/>
      <c r="U54" s="201"/>
    </row>
    <row r="55" spans="1:21" hidden="1" x14ac:dyDescent="0.35">
      <c r="A55" s="201"/>
      <c r="B55" s="201"/>
      <c r="C55" s="131"/>
      <c r="D55" s="131"/>
      <c r="E55" s="131"/>
      <c r="F55" s="131"/>
      <c r="G55" s="131"/>
      <c r="H55" s="131"/>
      <c r="I55" s="131"/>
      <c r="J55" s="131"/>
      <c r="K55" s="131"/>
      <c r="L55" s="131"/>
      <c r="M55" s="131"/>
      <c r="N55" s="131"/>
      <c r="O55" s="131"/>
      <c r="P55" s="201"/>
      <c r="Q55" s="222"/>
      <c r="R55" s="222"/>
      <c r="S55" s="222"/>
      <c r="T55" s="201"/>
      <c r="U55" s="201"/>
    </row>
    <row r="56" spans="1:21" hidden="1" x14ac:dyDescent="0.35">
      <c r="A56" s="201"/>
      <c r="B56" s="201"/>
      <c r="C56" s="131"/>
      <c r="D56" s="131"/>
      <c r="E56" s="131"/>
      <c r="F56" s="131"/>
      <c r="G56" s="131"/>
      <c r="H56" s="131"/>
      <c r="I56" s="131"/>
      <c r="J56" s="131"/>
      <c r="K56" s="131"/>
      <c r="L56" s="131"/>
      <c r="M56" s="131"/>
      <c r="N56" s="131"/>
      <c r="O56" s="131"/>
      <c r="P56" s="201"/>
      <c r="Q56" s="222"/>
      <c r="R56" s="222"/>
      <c r="S56" s="222"/>
      <c r="T56" s="201"/>
      <c r="U56" s="201"/>
    </row>
    <row r="57" spans="1:21" hidden="1" x14ac:dyDescent="0.35">
      <c r="A57" s="201"/>
      <c r="B57" s="201"/>
      <c r="C57" s="131"/>
      <c r="D57" s="131"/>
      <c r="E57" s="131"/>
      <c r="F57" s="131"/>
      <c r="G57" s="131"/>
      <c r="H57" s="131"/>
      <c r="I57" s="131"/>
      <c r="J57" s="131"/>
      <c r="K57" s="131"/>
      <c r="L57" s="131"/>
      <c r="M57" s="131"/>
      <c r="N57" s="131"/>
      <c r="O57" s="131"/>
      <c r="P57" s="201"/>
      <c r="Q57" s="222"/>
      <c r="R57" s="222"/>
      <c r="S57" s="222"/>
      <c r="T57" s="201"/>
      <c r="U57" s="201"/>
    </row>
    <row r="58" spans="1:21" hidden="1" x14ac:dyDescent="0.35">
      <c r="A58" s="201"/>
      <c r="B58" s="201"/>
      <c r="C58" s="131"/>
      <c r="D58" s="131"/>
      <c r="E58" s="131"/>
      <c r="F58" s="131"/>
      <c r="G58" s="131"/>
      <c r="H58" s="131"/>
      <c r="I58" s="131"/>
      <c r="J58" s="131"/>
      <c r="K58" s="131"/>
      <c r="L58" s="131"/>
      <c r="M58" s="131"/>
      <c r="N58" s="131"/>
      <c r="O58" s="131"/>
      <c r="P58" s="201"/>
      <c r="Q58" s="222"/>
      <c r="R58" s="222"/>
      <c r="S58" s="222"/>
      <c r="T58" s="201"/>
      <c r="U58" s="201"/>
    </row>
    <row r="59" spans="1:21" hidden="1" x14ac:dyDescent="0.35">
      <c r="A59" s="201"/>
      <c r="B59" s="201"/>
      <c r="C59" s="131"/>
      <c r="D59" s="131"/>
      <c r="E59" s="131"/>
      <c r="F59" s="131"/>
      <c r="G59" s="131"/>
      <c r="H59" s="131"/>
      <c r="I59" s="131"/>
      <c r="J59" s="131"/>
      <c r="K59" s="131"/>
      <c r="L59" s="131"/>
      <c r="M59" s="131"/>
      <c r="N59" s="131"/>
      <c r="O59" s="131"/>
      <c r="P59" s="201"/>
      <c r="Q59" s="222"/>
      <c r="R59" s="222"/>
      <c r="S59" s="222"/>
      <c r="T59" s="201"/>
      <c r="U59" s="201"/>
    </row>
    <row r="60" spans="1:21" hidden="1" x14ac:dyDescent="0.35">
      <c r="A60" s="201"/>
      <c r="B60" s="201"/>
      <c r="C60" s="131"/>
      <c r="D60" s="131"/>
      <c r="E60" s="131"/>
      <c r="F60" s="131"/>
      <c r="G60" s="131"/>
      <c r="H60" s="131"/>
      <c r="I60" s="131"/>
      <c r="J60" s="131"/>
      <c r="K60" s="131"/>
      <c r="L60" s="131"/>
      <c r="M60" s="131"/>
      <c r="N60" s="131"/>
      <c r="O60" s="131"/>
      <c r="P60" s="201"/>
      <c r="Q60" s="222"/>
      <c r="R60" s="222"/>
      <c r="S60" s="222"/>
      <c r="T60" s="201"/>
      <c r="U60" s="201"/>
    </row>
    <row r="61" spans="1:21" hidden="1" x14ac:dyDescent="0.35">
      <c r="A61" s="201"/>
      <c r="B61" s="201"/>
      <c r="C61" s="131"/>
      <c r="D61" s="131"/>
      <c r="E61" s="131"/>
      <c r="F61" s="131"/>
      <c r="G61" s="131"/>
      <c r="H61" s="131"/>
      <c r="I61" s="131"/>
      <c r="J61" s="131"/>
      <c r="K61" s="131"/>
      <c r="L61" s="131"/>
      <c r="M61" s="131"/>
      <c r="N61" s="131"/>
      <c r="O61" s="131"/>
      <c r="P61" s="201"/>
      <c r="Q61" s="222"/>
      <c r="R61" s="222"/>
      <c r="S61" s="222"/>
      <c r="T61" s="201"/>
      <c r="U61" s="201"/>
    </row>
    <row r="62" spans="1:21" ht="10.25" hidden="1" customHeight="1" x14ac:dyDescent="0.35">
      <c r="A62" s="201"/>
      <c r="B62" s="201"/>
      <c r="C62" s="131"/>
      <c r="D62" s="131"/>
      <c r="E62" s="131"/>
      <c r="F62" s="131"/>
      <c r="G62" s="131"/>
      <c r="H62" s="131"/>
      <c r="I62" s="131"/>
      <c r="J62" s="131"/>
      <c r="K62" s="131"/>
      <c r="L62" s="131"/>
      <c r="M62" s="131"/>
      <c r="N62" s="131"/>
      <c r="O62" s="131"/>
      <c r="P62" s="201"/>
      <c r="Q62" s="222"/>
      <c r="R62" s="222"/>
      <c r="S62" s="222"/>
      <c r="T62" s="201"/>
      <c r="U62" s="201"/>
    </row>
    <row r="63" spans="1:21" ht="11" hidden="1" customHeight="1" x14ac:dyDescent="0.35">
      <c r="A63" s="201"/>
      <c r="B63" s="201"/>
      <c r="C63" s="131"/>
      <c r="D63" s="131"/>
      <c r="E63" s="131"/>
      <c r="F63" s="131"/>
      <c r="G63" s="131"/>
      <c r="H63" s="131"/>
      <c r="I63" s="131"/>
      <c r="J63" s="131"/>
      <c r="K63" s="131"/>
      <c r="L63" s="131"/>
      <c r="M63" s="131"/>
      <c r="N63" s="131"/>
      <c r="O63" s="131"/>
      <c r="P63" s="201"/>
      <c r="Q63" s="222"/>
      <c r="R63" s="222"/>
      <c r="S63" s="222"/>
      <c r="T63" s="201"/>
      <c r="U63" s="201"/>
    </row>
    <row r="64" spans="1:21" ht="11" hidden="1" customHeight="1" x14ac:dyDescent="0.35">
      <c r="A64" s="201"/>
      <c r="B64" s="201"/>
      <c r="C64" s="131"/>
      <c r="D64" s="131"/>
      <c r="E64" s="131"/>
      <c r="F64" s="131"/>
      <c r="G64" s="131"/>
      <c r="H64" s="131"/>
      <c r="I64" s="131"/>
      <c r="J64" s="131"/>
      <c r="K64" s="131"/>
      <c r="L64" s="131"/>
      <c r="M64" s="131"/>
      <c r="N64" s="131"/>
      <c r="O64" s="131"/>
      <c r="P64" s="201"/>
      <c r="Q64" s="222"/>
      <c r="R64" s="222"/>
      <c r="S64" s="222"/>
      <c r="T64" s="201"/>
      <c r="U64" s="201"/>
    </row>
    <row r="65" spans="1:21" ht="11" hidden="1" customHeight="1" x14ac:dyDescent="0.35">
      <c r="A65" s="201"/>
      <c r="B65" s="201"/>
      <c r="C65" s="131"/>
      <c r="D65" s="131"/>
      <c r="E65" s="131"/>
      <c r="F65" s="131"/>
      <c r="G65" s="131"/>
      <c r="H65" s="131"/>
      <c r="I65" s="131"/>
      <c r="J65" s="131"/>
      <c r="K65" s="131"/>
      <c r="L65" s="131"/>
      <c r="M65" s="131"/>
      <c r="N65" s="131"/>
      <c r="O65" s="131"/>
      <c r="P65" s="201"/>
      <c r="Q65" s="222"/>
      <c r="R65" s="222"/>
      <c r="S65" s="222"/>
      <c r="T65" s="201"/>
      <c r="U65" s="201"/>
    </row>
    <row r="66" spans="1:21" ht="6" hidden="1" customHeight="1" x14ac:dyDescent="0.35">
      <c r="A66" s="201"/>
      <c r="B66" s="201"/>
      <c r="C66" s="131"/>
      <c r="D66" s="131"/>
      <c r="E66" s="131"/>
      <c r="F66" s="131"/>
      <c r="G66" s="131"/>
      <c r="H66" s="131"/>
      <c r="I66" s="131"/>
      <c r="J66" s="131"/>
      <c r="K66" s="131"/>
      <c r="L66" s="131"/>
      <c r="M66" s="131"/>
      <c r="N66" s="131"/>
      <c r="O66" s="131"/>
      <c r="P66" s="201"/>
      <c r="Q66" s="222"/>
      <c r="R66" s="222"/>
      <c r="S66" s="222"/>
      <c r="T66" s="201"/>
      <c r="U66" s="201"/>
    </row>
    <row r="67" spans="1:21" hidden="1" x14ac:dyDescent="0.35">
      <c r="A67" s="201"/>
      <c r="B67" s="201"/>
      <c r="C67" s="131"/>
      <c r="D67" s="131"/>
      <c r="E67" s="131"/>
      <c r="F67" s="131"/>
      <c r="G67" s="131"/>
      <c r="H67" s="131"/>
      <c r="I67" s="131"/>
      <c r="J67" s="131"/>
      <c r="K67" s="131"/>
      <c r="L67" s="131"/>
      <c r="M67" s="131"/>
      <c r="N67" s="131"/>
      <c r="O67" s="131"/>
      <c r="P67" s="201"/>
      <c r="Q67" s="222"/>
      <c r="R67" s="222"/>
      <c r="S67" s="222"/>
      <c r="T67" s="201"/>
      <c r="U67" s="201"/>
    </row>
    <row r="68" spans="1:21" ht="6.75" hidden="1" customHeight="1" x14ac:dyDescent="0.35">
      <c r="A68" s="201"/>
      <c r="B68" s="201"/>
      <c r="C68" s="131"/>
      <c r="D68" s="131"/>
      <c r="E68" s="131"/>
      <c r="F68" s="131"/>
      <c r="G68" s="131"/>
      <c r="H68" s="131"/>
      <c r="I68" s="131"/>
      <c r="J68" s="131"/>
      <c r="K68" s="131"/>
      <c r="L68" s="131"/>
      <c r="M68" s="131"/>
      <c r="N68" s="131"/>
      <c r="O68" s="131"/>
      <c r="P68" s="201"/>
      <c r="Q68" s="222"/>
      <c r="R68" s="222"/>
      <c r="S68" s="222"/>
      <c r="T68" s="201"/>
      <c r="U68" s="201"/>
    </row>
    <row r="69" spans="1:21" ht="8.25" hidden="1" customHeight="1" x14ac:dyDescent="0.35">
      <c r="A69" s="201"/>
      <c r="B69" s="201"/>
      <c r="C69" s="131"/>
      <c r="D69" s="131"/>
      <c r="E69" s="131"/>
      <c r="F69" s="131"/>
      <c r="G69" s="131"/>
      <c r="H69" s="131"/>
      <c r="I69" s="131"/>
      <c r="J69" s="131"/>
      <c r="K69" s="131"/>
      <c r="L69" s="131"/>
      <c r="M69" s="131"/>
      <c r="N69" s="131"/>
      <c r="O69" s="131"/>
      <c r="P69" s="201"/>
      <c r="Q69" s="222"/>
      <c r="R69" s="222"/>
      <c r="S69" s="222"/>
      <c r="T69" s="201"/>
      <c r="U69" s="201"/>
    </row>
    <row r="70" spans="1:21" hidden="1" x14ac:dyDescent="0.35">
      <c r="A70" s="201"/>
      <c r="B70" s="201"/>
      <c r="C70" s="131"/>
      <c r="D70" s="131"/>
      <c r="E70" s="131"/>
      <c r="F70" s="131"/>
      <c r="G70" s="131"/>
      <c r="H70" s="131"/>
      <c r="I70" s="131"/>
      <c r="J70" s="131"/>
      <c r="K70" s="131"/>
      <c r="L70" s="131"/>
      <c r="M70" s="131"/>
      <c r="N70" s="131"/>
      <c r="O70" s="131"/>
      <c r="P70" s="201"/>
      <c r="Q70" s="222"/>
      <c r="R70" s="222"/>
      <c r="S70" s="222"/>
      <c r="T70" s="201"/>
      <c r="U70" s="201"/>
    </row>
    <row r="71" spans="1:21" hidden="1" x14ac:dyDescent="0.35">
      <c r="A71" s="201"/>
      <c r="B71" s="201"/>
      <c r="C71" s="131"/>
      <c r="D71" s="131"/>
      <c r="E71" s="131"/>
      <c r="F71" s="131"/>
      <c r="G71" s="131"/>
      <c r="H71" s="131"/>
      <c r="I71" s="131"/>
      <c r="J71" s="131"/>
      <c r="K71" s="131"/>
      <c r="L71" s="131"/>
      <c r="M71" s="131"/>
      <c r="N71" s="131"/>
      <c r="O71" s="131"/>
      <c r="P71" s="201"/>
      <c r="Q71" s="222"/>
      <c r="R71" s="222"/>
      <c r="S71" s="222"/>
      <c r="T71" s="201"/>
      <c r="U71" s="201"/>
    </row>
    <row r="72" spans="1:21" hidden="1" x14ac:dyDescent="0.35">
      <c r="A72" s="201"/>
      <c r="B72" s="201"/>
      <c r="C72" s="131"/>
      <c r="D72" s="131"/>
      <c r="E72" s="131"/>
      <c r="F72" s="131"/>
      <c r="G72" s="131"/>
      <c r="H72" s="131"/>
      <c r="I72" s="131"/>
      <c r="J72" s="131"/>
      <c r="K72" s="131"/>
      <c r="L72" s="131"/>
      <c r="M72" s="131"/>
      <c r="N72" s="131"/>
      <c r="O72" s="131"/>
      <c r="P72" s="201"/>
      <c r="Q72" s="222"/>
      <c r="R72" s="222"/>
      <c r="S72" s="222"/>
      <c r="T72" s="201"/>
      <c r="U72" s="201"/>
    </row>
    <row r="73" spans="1:21" ht="15.75" hidden="1" customHeight="1" x14ac:dyDescent="0.35">
      <c r="A73" s="201"/>
      <c r="B73" s="201"/>
      <c r="C73" s="131"/>
      <c r="D73" s="131"/>
      <c r="E73" s="131"/>
      <c r="F73" s="131"/>
      <c r="G73" s="131"/>
      <c r="H73" s="131"/>
      <c r="I73" s="131"/>
      <c r="J73" s="131"/>
      <c r="K73" s="131"/>
      <c r="L73" s="131"/>
      <c r="M73" s="131"/>
      <c r="N73" s="131"/>
      <c r="O73" s="131"/>
      <c r="P73" s="201"/>
      <c r="Q73" s="222"/>
      <c r="R73" s="222"/>
      <c r="S73" s="222"/>
      <c r="T73" s="201"/>
      <c r="U73" s="201"/>
    </row>
    <row r="74" spans="1:21" ht="15" hidden="1" customHeight="1" x14ac:dyDescent="0.35">
      <c r="A74" s="201"/>
      <c r="B74" s="201"/>
      <c r="C74" s="131"/>
      <c r="D74" s="131"/>
      <c r="E74" s="131"/>
      <c r="F74" s="131"/>
      <c r="G74" s="131"/>
      <c r="H74" s="131"/>
      <c r="I74" s="131"/>
      <c r="J74" s="131"/>
      <c r="K74" s="131"/>
      <c r="L74" s="131"/>
      <c r="M74" s="131"/>
      <c r="N74" s="131"/>
      <c r="O74" s="131"/>
      <c r="P74" s="201"/>
      <c r="Q74" s="222"/>
      <c r="R74" s="222"/>
      <c r="S74" s="222"/>
      <c r="T74" s="201"/>
      <c r="U74" s="201"/>
    </row>
    <row r="75" spans="1:21" ht="15" hidden="1" customHeight="1" x14ac:dyDescent="0.35">
      <c r="A75" s="201"/>
      <c r="B75" s="201"/>
      <c r="C75" s="131"/>
      <c r="D75" s="131"/>
      <c r="E75" s="131"/>
      <c r="F75" s="131"/>
      <c r="G75" s="131"/>
      <c r="H75" s="131"/>
      <c r="I75" s="131"/>
      <c r="J75" s="131"/>
      <c r="K75" s="131"/>
      <c r="L75" s="131"/>
      <c r="M75" s="131"/>
      <c r="N75" s="131"/>
      <c r="O75" s="131"/>
      <c r="P75" s="201"/>
      <c r="Q75" s="222"/>
      <c r="R75" s="222"/>
      <c r="S75" s="222"/>
      <c r="T75" s="201"/>
      <c r="U75" s="201"/>
    </row>
    <row r="76" spans="1:21" ht="15" hidden="1" customHeight="1" x14ac:dyDescent="0.35">
      <c r="A76" s="201"/>
      <c r="B76" s="201"/>
      <c r="C76" s="131"/>
      <c r="D76" s="131"/>
      <c r="E76" s="131"/>
      <c r="F76" s="131"/>
      <c r="G76" s="131"/>
      <c r="H76" s="131"/>
      <c r="I76" s="131"/>
      <c r="J76" s="131"/>
      <c r="K76" s="131"/>
      <c r="L76" s="131"/>
      <c r="M76" s="131"/>
      <c r="N76" s="131"/>
      <c r="O76" s="131"/>
      <c r="P76" s="201"/>
      <c r="Q76" s="222"/>
      <c r="R76" s="222"/>
      <c r="S76" s="222"/>
      <c r="T76" s="201"/>
      <c r="U76" s="201"/>
    </row>
    <row r="77" spans="1:21" ht="15" hidden="1" customHeight="1" x14ac:dyDescent="0.35">
      <c r="A77" s="201"/>
      <c r="B77" s="201"/>
      <c r="C77" s="131"/>
      <c r="D77" s="131"/>
      <c r="E77" s="131"/>
      <c r="F77" s="131"/>
      <c r="G77" s="131"/>
      <c r="H77" s="131"/>
      <c r="I77" s="131"/>
      <c r="J77" s="131"/>
      <c r="K77" s="131"/>
      <c r="L77" s="131"/>
      <c r="M77" s="131"/>
      <c r="N77" s="131"/>
      <c r="O77" s="131"/>
      <c r="P77" s="201"/>
      <c r="Q77" s="222"/>
      <c r="R77" s="222"/>
      <c r="S77" s="222"/>
      <c r="T77" s="201"/>
      <c r="U77" s="201"/>
    </row>
    <row r="78" spans="1:21" hidden="1" x14ac:dyDescent="0.35">
      <c r="A78" s="201"/>
      <c r="B78" s="201"/>
      <c r="C78" s="131"/>
      <c r="D78" s="131"/>
      <c r="E78" s="131"/>
      <c r="F78" s="131"/>
      <c r="G78" s="131"/>
      <c r="H78" s="131"/>
      <c r="I78" s="131"/>
      <c r="J78" s="131"/>
      <c r="K78" s="131"/>
      <c r="L78" s="131"/>
      <c r="M78" s="131"/>
      <c r="N78" s="131"/>
      <c r="O78" s="131"/>
      <c r="P78" s="201"/>
      <c r="Q78" s="222"/>
      <c r="R78" s="222"/>
      <c r="S78" s="222"/>
      <c r="T78" s="201"/>
      <c r="U78" s="201"/>
    </row>
    <row r="79" spans="1:21" hidden="1" x14ac:dyDescent="0.35">
      <c r="A79" s="201"/>
      <c r="B79" s="201"/>
      <c r="C79" s="131"/>
      <c r="D79" s="131"/>
      <c r="E79" s="131"/>
      <c r="F79" s="131"/>
      <c r="G79" s="131"/>
      <c r="H79" s="131"/>
      <c r="I79" s="131"/>
      <c r="J79" s="131"/>
      <c r="K79" s="131"/>
      <c r="L79" s="131"/>
      <c r="M79" s="131"/>
      <c r="N79" s="131"/>
      <c r="O79" s="131"/>
      <c r="P79" s="201"/>
      <c r="Q79" s="222"/>
      <c r="R79" s="222"/>
      <c r="S79" s="222"/>
      <c r="T79" s="201"/>
      <c r="U79" s="201"/>
    </row>
    <row r="80" spans="1:21" hidden="1" x14ac:dyDescent="0.35">
      <c r="A80" s="201"/>
      <c r="B80" s="201"/>
      <c r="C80" s="131"/>
      <c r="D80" s="131"/>
      <c r="E80" s="131"/>
      <c r="F80" s="131"/>
      <c r="G80" s="131"/>
      <c r="H80" s="131"/>
      <c r="I80" s="131"/>
      <c r="J80" s="131"/>
      <c r="K80" s="131"/>
      <c r="L80" s="131"/>
      <c r="M80" s="131"/>
      <c r="N80" s="131"/>
      <c r="O80" s="131"/>
      <c r="P80" s="201"/>
      <c r="Q80" s="222"/>
      <c r="R80" s="222"/>
      <c r="S80" s="222"/>
      <c r="T80" s="201"/>
      <c r="U80" s="201"/>
    </row>
    <row r="81" spans="1:21" hidden="1" x14ac:dyDescent="0.35">
      <c r="A81" s="201"/>
      <c r="B81" s="201"/>
      <c r="C81" s="131"/>
      <c r="D81" s="131"/>
      <c r="E81" s="131"/>
      <c r="F81" s="131"/>
      <c r="G81" s="131"/>
      <c r="H81" s="131"/>
      <c r="I81" s="131"/>
      <c r="J81" s="131"/>
      <c r="K81" s="131"/>
      <c r="L81" s="131"/>
      <c r="M81" s="131"/>
      <c r="N81" s="131"/>
      <c r="O81" s="131"/>
      <c r="P81" s="201"/>
      <c r="Q81" s="222"/>
      <c r="R81" s="222"/>
      <c r="S81" s="222"/>
      <c r="T81" s="201"/>
      <c r="U81" s="201"/>
    </row>
    <row r="82" spans="1:21" hidden="1" x14ac:dyDescent="0.35">
      <c r="A82" s="201"/>
      <c r="B82" s="201"/>
      <c r="C82" s="131"/>
      <c r="D82" s="131"/>
      <c r="E82" s="131"/>
      <c r="F82" s="131"/>
      <c r="G82" s="131"/>
      <c r="H82" s="131"/>
      <c r="I82" s="131"/>
      <c r="J82" s="131"/>
      <c r="K82" s="131"/>
      <c r="L82" s="131"/>
      <c r="M82" s="131"/>
      <c r="N82" s="131"/>
      <c r="O82" s="131"/>
      <c r="P82" s="201"/>
      <c r="Q82" s="222"/>
      <c r="R82" s="222"/>
      <c r="S82" s="222"/>
      <c r="T82" s="201"/>
      <c r="U82" s="201"/>
    </row>
    <row r="83" spans="1:21" hidden="1" x14ac:dyDescent="0.35">
      <c r="A83" s="201"/>
      <c r="B83" s="201"/>
      <c r="C83" s="131"/>
      <c r="D83" s="131"/>
      <c r="E83" s="131"/>
      <c r="F83" s="131"/>
      <c r="G83" s="131"/>
      <c r="H83" s="131"/>
      <c r="I83" s="131"/>
      <c r="J83" s="131"/>
      <c r="K83" s="131"/>
      <c r="L83" s="131"/>
      <c r="M83" s="131"/>
      <c r="N83" s="131"/>
      <c r="O83" s="131"/>
      <c r="P83" s="201"/>
      <c r="Q83" s="222"/>
      <c r="R83" s="222"/>
      <c r="S83" s="222"/>
      <c r="T83" s="201"/>
      <c r="U83" s="201"/>
    </row>
    <row r="84" spans="1:21" hidden="1" x14ac:dyDescent="0.35">
      <c r="A84" s="201"/>
      <c r="B84" s="201"/>
      <c r="C84" s="131"/>
      <c r="D84" s="131"/>
      <c r="E84" s="131"/>
      <c r="F84" s="131"/>
      <c r="G84" s="131"/>
      <c r="H84" s="131"/>
      <c r="I84" s="131"/>
      <c r="J84" s="131"/>
      <c r="K84" s="131"/>
      <c r="L84" s="131"/>
      <c r="M84" s="131"/>
      <c r="N84" s="131"/>
      <c r="O84" s="131"/>
      <c r="P84" s="201"/>
      <c r="Q84" s="222"/>
      <c r="R84" s="222"/>
      <c r="S84" s="222"/>
      <c r="T84" s="201"/>
      <c r="U84" s="201"/>
    </row>
    <row r="85" spans="1:21" hidden="1" x14ac:dyDescent="0.35">
      <c r="A85" s="201"/>
      <c r="B85" s="201"/>
      <c r="C85" s="131"/>
      <c r="D85" s="131"/>
      <c r="E85" s="131"/>
      <c r="F85" s="131"/>
      <c r="G85" s="131"/>
      <c r="H85" s="131"/>
      <c r="I85" s="131"/>
      <c r="J85" s="131"/>
      <c r="K85" s="131"/>
      <c r="L85" s="131"/>
      <c r="M85" s="131"/>
      <c r="N85" s="131"/>
      <c r="O85" s="131"/>
      <c r="P85" s="201"/>
      <c r="Q85" s="222"/>
      <c r="R85" s="222"/>
      <c r="S85" s="222"/>
      <c r="T85" s="201"/>
      <c r="U85" s="201"/>
    </row>
    <row r="86" spans="1:21" hidden="1" x14ac:dyDescent="0.35">
      <c r="A86" s="201"/>
      <c r="B86" s="201"/>
      <c r="C86" s="131"/>
      <c r="D86" s="131"/>
      <c r="E86" s="131"/>
      <c r="F86" s="131"/>
      <c r="G86" s="131"/>
      <c r="H86" s="131"/>
      <c r="I86" s="131"/>
      <c r="J86" s="131"/>
      <c r="K86" s="131"/>
      <c r="L86" s="131"/>
      <c r="M86" s="131"/>
      <c r="N86" s="131"/>
      <c r="O86" s="131"/>
      <c r="P86" s="201"/>
      <c r="Q86" s="222"/>
      <c r="R86" s="222"/>
      <c r="S86" s="222"/>
      <c r="T86" s="201"/>
      <c r="U86" s="201"/>
    </row>
    <row r="87" spans="1:21" hidden="1" x14ac:dyDescent="0.35">
      <c r="C87" s="154"/>
      <c r="D87" s="154"/>
      <c r="E87" s="154"/>
      <c r="F87" s="154"/>
      <c r="G87" s="154"/>
      <c r="H87" s="154"/>
      <c r="I87" s="154"/>
      <c r="J87" s="154"/>
      <c r="K87" s="154"/>
      <c r="L87" s="154"/>
      <c r="M87" s="154"/>
      <c r="N87" s="154"/>
      <c r="O87" s="154"/>
    </row>
    <row r="88" spans="1:21" hidden="1" x14ac:dyDescent="0.35">
      <c r="C88" s="154"/>
      <c r="D88" s="154"/>
      <c r="E88" s="154"/>
      <c r="F88" s="154"/>
      <c r="G88" s="154"/>
      <c r="H88" s="154"/>
      <c r="I88" s="154"/>
      <c r="J88" s="154"/>
      <c r="K88" s="154"/>
      <c r="L88" s="154"/>
      <c r="M88" s="154"/>
      <c r="N88" s="154"/>
      <c r="O88" s="154"/>
    </row>
  </sheetData>
  <sheetProtection algorithmName="SHA-512" hashValue="iF9qgSd3fHDryui2QKjBZpfeqE7DpWGyW12y1OXyWsG6UOwCQbkF+NA2dZdTQ/WqGnupet6I4K+YSa2e+OhuWw==" saltValue="Iz4Ol3QYhc9IrItpolz9Ew==" spinCount="100000" sheet="1" objects="1" scenarios="1"/>
  <mergeCells count="4">
    <mergeCell ref="D4:M4"/>
    <mergeCell ref="D5:M5"/>
    <mergeCell ref="E22:L22"/>
    <mergeCell ref="E37:L37"/>
  </mergeCells>
  <conditionalFormatting sqref="D7">
    <cfRule type="expression" dxfId="0" priority="1">
      <formula>#REF!="Yes"</formula>
    </cfRule>
  </conditionalFormatting>
  <pageMargins left="0.3" right="0.18" top="0.36" bottom="0.35" header="0.25" footer="0.25"/>
  <pageSetup scale="96" orientation="portrait" r:id="rId1"/>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3"/>
  <dimension ref="A1:B1"/>
  <sheetViews>
    <sheetView workbookViewId="0">
      <selection activeCell="A2" sqref="A2"/>
    </sheetView>
  </sheetViews>
  <sheetFormatPr defaultRowHeight="12.5" x14ac:dyDescent="0.25"/>
  <sheetData>
    <row r="1" spans="1:2" x14ac:dyDescent="0.25">
      <c r="A1" t="s">
        <v>0</v>
      </c>
      <c r="B1" t="s">
        <v>1</v>
      </c>
    </row>
  </sheetData>
  <phoneticPr fontId="3" type="noConversion"/>
  <pageMargins left="0.75" right="0.75" top="1" bottom="1" header="0.5" footer="0.5"/>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 ma:contentTypeID="0x010100C1EB3F97F4AE0E42B45E1938BBA1EB2E" ma:contentTypeVersion="12" ma:contentTypeDescription="Create a new document." ma:contentTypeScope="" ma:versionID="7c5b1271ee1ec7d88045a4c09582be70">
  <xsd:schema xmlns:xsd="http://www.w3.org/2001/XMLSchema" xmlns:xs="http://www.w3.org/2001/XMLSchema" xmlns:p="http://schemas.microsoft.com/office/2006/metadata/properties" xmlns:ns3="29b36ee5-1ca7-46dd-b5f0-cd38d455131d" xmlns:ns4="dbe9e2a1-d586-409c-905c-748d15c9a972" targetNamespace="http://schemas.microsoft.com/office/2006/metadata/properties" ma:root="true" ma:fieldsID="e8335a1bafc27793898155234b251767" ns3:_="" ns4:_="">
    <xsd:import namespace="29b36ee5-1ca7-46dd-b5f0-cd38d455131d"/>
    <xsd:import namespace="dbe9e2a1-d586-409c-905c-748d15c9a972"/>
    <xsd:element name="properties">
      <xsd:complexType>
        <xsd:sequence>
          <xsd:element name="documentManagement">
            <xsd:complexType>
              <xsd:all>
                <xsd:element ref="ns3:SharedWithUsers" minOccurs="0"/>
                <xsd:element ref="ns3:SharedWithDetails" minOccurs="0"/>
                <xsd:element ref="ns3:SharingHintHash" minOccurs="0"/>
                <xsd:element ref="ns4:MediaServiceMetadata" minOccurs="0"/>
                <xsd:element ref="ns4:MediaServiceFastMetadata" minOccurs="0"/>
                <xsd:element ref="ns4:MediaServiceAutoKeyPoints" minOccurs="0"/>
                <xsd:element ref="ns4:MediaServiceKeyPoints" minOccurs="0"/>
                <xsd:element ref="ns4:MediaServiceAutoTags" minOccurs="0"/>
                <xsd:element ref="ns4:MediaServiceOCR" minOccurs="0"/>
                <xsd:element ref="ns4:MediaServiceGenerationTime" minOccurs="0"/>
                <xsd:element ref="ns4:MediaServiceEventHashCode" minOccurs="0"/>
                <xsd:element ref="ns4:MediaServiceDateTake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29b36ee5-1ca7-46dd-b5f0-cd38d455131d" elementFormDefault="qualified">
    <xsd:import namespace="http://schemas.microsoft.com/office/2006/documentManagement/types"/>
    <xsd:import namespace="http://schemas.microsoft.com/office/infopath/2007/PartnerControls"/>
    <xsd:element name="SharedWithUsers" ma:index="8" nillable="true" ma:displayName="Shared With" ma:descripti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9" nillable="true" ma:displayName="Shared With Details" ma:description="" ma:internalName="SharedWithDetails" ma:readOnly="true">
      <xsd:simpleType>
        <xsd:restriction base="dms:Note">
          <xsd:maxLength value="255"/>
        </xsd:restriction>
      </xsd:simpleType>
    </xsd:element>
    <xsd:element name="SharingHintHash" ma:index="10" nillable="true" ma:displayName="Sharing Hint Hash" ma:description="" ma:hidden="true" ma:internalName="SharingHintHash"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dbe9e2a1-d586-409c-905c-748d15c9a972" elementFormDefault="qualified">
    <xsd:import namespace="http://schemas.microsoft.com/office/2006/documentManagement/types"/>
    <xsd:import namespace="http://schemas.microsoft.com/office/infopath/2007/PartnerControls"/>
    <xsd:element name="MediaServiceMetadata" ma:index="11" nillable="true" ma:displayName="MediaServiceMetadata" ma:description="" ma:hidden="true" ma:internalName="MediaServiceMetadata" ma:readOnly="true">
      <xsd:simpleType>
        <xsd:restriction base="dms:Note"/>
      </xsd:simpleType>
    </xsd:element>
    <xsd:element name="MediaServiceFastMetadata" ma:index="12" nillable="true" ma:displayName="MediaServiceFastMetadata" ma:description="" ma:hidden="true" ma:internalName="MediaServiceFastMetadata" ma:readOnly="true">
      <xsd:simpleType>
        <xsd:restriction base="dms:Note"/>
      </xsd:simpleType>
    </xsd:element>
    <xsd:element name="MediaServiceAutoKeyPoints" ma:index="13" nillable="true" ma:displayName="MediaServiceAutoKeyPoints" ma:hidden="true" ma:internalName="MediaServiceAutoKeyPoints" ma:readOnly="true">
      <xsd:simpleType>
        <xsd:restriction base="dms:Note"/>
      </xsd:simpleType>
    </xsd:element>
    <xsd:element name="MediaServiceKeyPoints" ma:index="14" nillable="true" ma:displayName="KeyPoints" ma:internalName="MediaServiceKeyPoints" ma:readOnly="true">
      <xsd:simpleType>
        <xsd:restriction base="dms:Note">
          <xsd:maxLength value="255"/>
        </xsd:restriction>
      </xsd:simpleType>
    </xsd:element>
    <xsd:element name="MediaServiceAutoTags" ma:index="15" nillable="true" ma:displayName="Tags" ma:internalName="MediaServiceAutoTags"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ServiceDateTaken" ma:index="19" nillable="true" ma:displayName="MediaServiceDateTaken" ma:hidden="true" ma:internalName="MediaServiceDateTaken"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AF9F968F-E0AD-42DD-A772-6572511C635C}">
  <ds:schemaRefs>
    <ds:schemaRef ds:uri="http://schemas.openxmlformats.org/package/2006/metadata/core-properties"/>
    <ds:schemaRef ds:uri="29b36ee5-1ca7-46dd-b5f0-cd38d455131d"/>
    <ds:schemaRef ds:uri="http://schemas.microsoft.com/office/2006/documentManagement/types"/>
    <ds:schemaRef ds:uri="http://schemas.microsoft.com/office/infopath/2007/PartnerControls"/>
    <ds:schemaRef ds:uri="http://purl.org/dc/elements/1.1/"/>
    <ds:schemaRef ds:uri="http://schemas.microsoft.com/office/2006/metadata/properties"/>
    <ds:schemaRef ds:uri="dbe9e2a1-d586-409c-905c-748d15c9a972"/>
    <ds:schemaRef ds:uri="http://purl.org/dc/terms/"/>
    <ds:schemaRef ds:uri="http://www.w3.org/XML/1998/namespace"/>
    <ds:schemaRef ds:uri="http://purl.org/dc/dcmitype/"/>
  </ds:schemaRefs>
</ds:datastoreItem>
</file>

<file path=customXml/itemProps2.xml><?xml version="1.0" encoding="utf-8"?>
<ds:datastoreItem xmlns:ds="http://schemas.openxmlformats.org/officeDocument/2006/customXml" ds:itemID="{34CCFCF6-AA6C-4018-A70B-1090EAADEF03}">
  <ds:schemaRefs>
    <ds:schemaRef ds:uri="http://schemas.microsoft.com/sharepoint/v3/contenttype/forms"/>
  </ds:schemaRefs>
</ds:datastoreItem>
</file>

<file path=customXml/itemProps3.xml><?xml version="1.0" encoding="utf-8"?>
<ds:datastoreItem xmlns:ds="http://schemas.openxmlformats.org/officeDocument/2006/customXml" ds:itemID="{D6AD819A-8F0A-4977-9004-1B9B95B5A343}">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29b36ee5-1ca7-46dd-b5f0-cd38d455131d"/>
    <ds:schemaRef ds:uri="dbe9e2a1-d586-409c-905c-748d15c9a972"/>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Metadata/LabelInfo.xml><?xml version="1.0" encoding="utf-8"?>
<clbl:labelList xmlns:clbl="http://schemas.microsoft.com/office/2020/mipLabelMetadata">
  <clbl:label id="{f52e3166-5357-4b2b-8d76-c296527191bc}" enabled="0" method="" siteId="{f52e3166-5357-4b2b-8d76-c296527191bc}" removed="1"/>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10</vt:i4>
      </vt:variant>
      <vt:variant>
        <vt:lpstr>Named Ranges</vt:lpstr>
      </vt:variant>
      <vt:variant>
        <vt:i4>4</vt:i4>
      </vt:variant>
    </vt:vector>
  </HeadingPairs>
  <TitlesOfParts>
    <vt:vector size="14" baseType="lpstr">
      <vt:lpstr>Disclaimer</vt:lpstr>
      <vt:lpstr>Instructions</vt:lpstr>
      <vt:lpstr>Input</vt:lpstr>
      <vt:lpstr>Calculations</vt:lpstr>
      <vt:lpstr>copyright_disclaimer</vt:lpstr>
      <vt:lpstr>Tax Calculator - Calculations</vt:lpstr>
      <vt:lpstr>Extension</vt:lpstr>
      <vt:lpstr>Tax Calculator - Extension</vt:lpstr>
      <vt:lpstr>Truth in Taxation</vt:lpstr>
      <vt:lpstr>InfoPage</vt:lpstr>
      <vt:lpstr>Calculations!Print_Area</vt:lpstr>
      <vt:lpstr>Extension!Print_Area</vt:lpstr>
      <vt:lpstr>Input!Print_Area</vt:lpstr>
      <vt:lpstr>'Truth in Taxation'!Print_Area</vt:lpstr>
    </vt:vector>
  </TitlesOfParts>
  <Company>School Business &amp; Support Services</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Certificate of Tax Levy</dc:title>
  <dc:subject>Form</dc:subject>
  <dc:creator>DJH</dc:creator>
  <cp:lastModifiedBy>Laura Fox</cp:lastModifiedBy>
  <cp:lastPrinted>2020-05-20T14:04:57Z</cp:lastPrinted>
  <dcterms:created xsi:type="dcterms:W3CDTF">2001-07-03T19:36:57Z</dcterms:created>
  <dcterms:modified xsi:type="dcterms:W3CDTF">2025-08-29T16:39:53Z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0x010100C1EB3F97F4AE0E42B45E1938BBA1EB2E</vt:lpwstr>
  </property>
</Properties>
</file>