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lfox\Downloads\"/>
    </mc:Choice>
  </mc:AlternateContent>
  <xr:revisionPtr revIDLastSave="0" documentId="8_{FBE608E6-0412-4069-A4EC-41CAA4C68227}" xr6:coauthVersionLast="47" xr6:coauthVersionMax="47" xr10:uidLastSave="{00000000-0000-0000-0000-000000000000}"/>
  <bookViews>
    <workbookView xWindow="-110" yWindow="-110" windowWidth="19420" windowHeight="10300"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0" r:id="rId6"/>
    <sheet name="Extension" sheetId="17" r:id="rId7"/>
    <sheet name="Tax Calculator - Extension" sheetId="21" r:id="rId8"/>
    <sheet name="Truth in Taxation" sheetId="22" r:id="rId9"/>
    <sheet name="InfoPage" sheetId="3" state="hidden" r:id="rId10"/>
  </sheets>
  <externalReferences>
    <externalReference r:id="rId11"/>
  </externalReferences>
  <definedNames>
    <definedName name="_xlnm.Print_Area" localSheetId="3">Calculations!$A$1:$L$37</definedName>
    <definedName name="_xlnm.Print_Area" localSheetId="6">Extension!$A$1:$N$40</definedName>
    <definedName name="_xlnm.Print_Area" localSheetId="2">Input!$A$7:$H$71</definedName>
    <definedName name="_xlnm.Print_Area" localSheetId="8">'Truth in Taxation'!$A$1:$Q$51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7" i="21" l="1"/>
  <c r="D67" i="5" l="1"/>
  <c r="D8" i="22"/>
  <c r="Z8" i="21"/>
  <c r="D13" i="22"/>
  <c r="D7" i="22" l="1"/>
  <c r="D5" i="22"/>
  <c r="T8" i="22" l="1"/>
  <c r="D9" i="22" s="1"/>
  <c r="A24" i="20"/>
  <c r="D26" i="22"/>
  <c r="D36" i="22"/>
  <c r="D33" i="22"/>
  <c r="D29" i="22"/>
  <c r="D25" i="22"/>
  <c r="D21" i="22"/>
  <c r="D17" i="22"/>
  <c r="C40" i="5" l="1"/>
  <c r="D34" i="5"/>
  <c r="I4" i="17"/>
  <c r="I11" i="17" s="1"/>
  <c r="H8" i="9"/>
  <c r="B9" i="20" s="1"/>
  <c r="B34" i="5"/>
  <c r="B36" i="5"/>
  <c r="B32" i="5" l="1"/>
  <c r="E49" i="5"/>
  <c r="A15" i="21"/>
  <c r="A24" i="21"/>
  <c r="A22" i="21"/>
  <c r="A14" i="21"/>
  <c r="A13" i="21"/>
  <c r="A11" i="21"/>
  <c r="A7" i="21"/>
  <c r="A2" i="21"/>
  <c r="A2" i="20"/>
  <c r="A22" i="20"/>
  <c r="A15" i="20"/>
  <c r="A14" i="20"/>
  <c r="A13" i="20"/>
  <c r="A7" i="20"/>
  <c r="M15" i="21" l="1"/>
  <c r="L19" i="21"/>
  <c r="L8" i="21"/>
  <c r="L6" i="21"/>
  <c r="L6" i="20"/>
  <c r="L8" i="20"/>
  <c r="L19" i="20"/>
  <c r="I21" i="21"/>
  <c r="Z9" i="21"/>
  <c r="Y9" i="21"/>
  <c r="N11" i="21" s="1"/>
  <c r="I21" i="20"/>
  <c r="N12" i="21" l="1"/>
  <c r="M15" i="20" l="1"/>
  <c r="N12" i="20"/>
  <c r="Y9" i="20" l="1"/>
  <c r="N11" i="20" s="1"/>
  <c r="E63" i="5"/>
  <c r="H63" i="5"/>
  <c r="G63" i="5"/>
  <c r="F63" i="5"/>
  <c r="B30" i="5"/>
  <c r="D28" i="5"/>
  <c r="D54" i="5"/>
  <c r="G31" i="9" l="1"/>
  <c r="C23" i="9" l="1"/>
  <c r="C24" i="9"/>
  <c r="A23" i="9"/>
  <c r="A29" i="17" s="1"/>
  <c r="A24" i="9"/>
  <c r="A30" i="17" s="1"/>
  <c r="D18" i="9"/>
  <c r="D19" i="9"/>
  <c r="C18" i="9"/>
  <c r="C19" i="9"/>
  <c r="A18" i="9"/>
  <c r="A24" i="17" s="1"/>
  <c r="A19" i="9"/>
  <c r="A25" i="17" s="1"/>
  <c r="D59" i="5"/>
  <c r="B23" i="9" s="1"/>
  <c r="D60" i="5"/>
  <c r="B24" i="9" s="1"/>
  <c r="B18" i="9"/>
  <c r="D55" i="5"/>
  <c r="B19" i="9" s="1"/>
  <c r="A15" i="9"/>
  <c r="A21" i="17" s="1"/>
  <c r="A16" i="9"/>
  <c r="A22" i="17" s="1"/>
  <c r="A17" i="9"/>
  <c r="A23" i="17" s="1"/>
  <c r="A20" i="9"/>
  <c r="A26" i="17" s="1"/>
  <c r="A21" i="9"/>
  <c r="A27" i="17" s="1"/>
  <c r="A22" i="9"/>
  <c r="A28" i="17" s="1"/>
  <c r="A25" i="9"/>
  <c r="A31" i="17" s="1"/>
  <c r="A14" i="9"/>
  <c r="A20" i="17" s="1"/>
  <c r="B32" i="9" l="1"/>
  <c r="J32" i="9"/>
  <c r="C21" i="9"/>
  <c r="C20" i="9"/>
  <c r="C17" i="9"/>
  <c r="H18" i="17" l="1"/>
  <c r="G18" i="17"/>
  <c r="G12" i="9"/>
  <c r="H16" i="17"/>
  <c r="A34" i="17"/>
  <c r="A28" i="9"/>
  <c r="I28" i="9"/>
  <c r="I18" i="17"/>
  <c r="J15" i="17"/>
  <c r="K21" i="9"/>
  <c r="K20" i="9"/>
  <c r="K17" i="9"/>
  <c r="D17" i="9"/>
  <c r="D20" i="9"/>
  <c r="A6" i="20"/>
  <c r="G5" i="9"/>
  <c r="F12" i="9" l="1"/>
  <c r="H13" i="17"/>
  <c r="H12" i="17"/>
  <c r="H11" i="17"/>
  <c r="A9" i="21" s="1"/>
  <c r="H10" i="17"/>
  <c r="A6" i="21" s="1"/>
  <c r="H7" i="17"/>
  <c r="H6" i="17"/>
  <c r="H4" i="17"/>
  <c r="H2" i="17"/>
  <c r="D30" i="5"/>
  <c r="D49" i="5"/>
  <c r="G11" i="9"/>
  <c r="G10" i="9"/>
  <c r="G8" i="9"/>
  <c r="G6" i="9"/>
  <c r="G3" i="9"/>
  <c r="D13" i="9"/>
  <c r="C69" i="5"/>
  <c r="C67" i="5"/>
  <c r="C63" i="5"/>
  <c r="B40" i="5"/>
  <c r="A11" i="20" s="1"/>
  <c r="B38" i="5"/>
  <c r="A9" i="20" s="1"/>
  <c r="A50" i="5" l="1"/>
  <c r="L34" i="17" l="1"/>
  <c r="L32" i="17" s="1"/>
  <c r="M32" i="17" s="1"/>
  <c r="H3" i="9" l="1"/>
  <c r="A2" i="17"/>
  <c r="C14" i="9"/>
  <c r="C15" i="9"/>
  <c r="C16" i="9"/>
  <c r="C22" i="9"/>
  <c r="C25" i="9"/>
  <c r="B9" i="21"/>
  <c r="H2" i="9"/>
  <c r="A2" i="9"/>
  <c r="D50" i="5"/>
  <c r="D51" i="5"/>
  <c r="B15" i="9" s="1"/>
  <c r="D52" i="5"/>
  <c r="B16" i="9" s="1"/>
  <c r="D53" i="5"/>
  <c r="B17" i="9" s="1"/>
  <c r="D56" i="5"/>
  <c r="B20" i="9" s="1"/>
  <c r="D57" i="5"/>
  <c r="B21" i="9" s="1"/>
  <c r="D58" i="5"/>
  <c r="B22" i="9" s="1"/>
  <c r="G28" i="9"/>
  <c r="D61" i="5"/>
  <c r="B25" i="9" s="1"/>
  <c r="D21" i="9"/>
  <c r="H49" i="5"/>
  <c r="G49" i="5"/>
  <c r="F49" i="5"/>
  <c r="B34" i="9"/>
  <c r="B36" i="17"/>
  <c r="J34" i="9"/>
  <c r="D30" i="22" s="1"/>
  <c r="B38" i="17" l="1"/>
  <c r="C41" i="5"/>
  <c r="D23" i="9"/>
  <c r="D24" i="9"/>
  <c r="D16" i="9"/>
  <c r="D25" i="9"/>
  <c r="D15" i="9"/>
  <c r="D22" i="9"/>
  <c r="D14" i="9"/>
  <c r="K34" i="9"/>
  <c r="H10" i="9"/>
  <c r="I6" i="17"/>
  <c r="D63" i="5"/>
  <c r="B14" i="9"/>
  <c r="B13" i="21" l="1"/>
  <c r="D18" i="22"/>
  <c r="D34" i="22" s="1"/>
  <c r="H11" i="9"/>
  <c r="H5" i="9"/>
  <c r="B9" i="9"/>
  <c r="B10" i="9" s="1"/>
  <c r="B13" i="20"/>
  <c r="F32" i="9"/>
  <c r="I7" i="17"/>
  <c r="B28" i="9"/>
  <c r="B12" i="17"/>
  <c r="B13" i="17" s="1"/>
  <c r="D69" i="5"/>
  <c r="D28" i="9"/>
  <c r="B6" i="20" l="1"/>
  <c r="M8" i="20" s="1"/>
  <c r="M11" i="20" s="1"/>
  <c r="M12" i="20" s="1"/>
  <c r="M17" i="20" s="1"/>
  <c r="I2" i="17"/>
  <c r="I10" i="17" s="1"/>
  <c r="I12" i="17" s="1"/>
  <c r="H6" i="9"/>
  <c r="B7" i="20" s="1"/>
  <c r="B11" i="20" s="1"/>
  <c r="B25" i="20"/>
  <c r="B25" i="21"/>
  <c r="B37" i="9"/>
  <c r="F22" i="9"/>
  <c r="F19" i="9"/>
  <c r="J19" i="9" s="1"/>
  <c r="B25" i="17" s="1"/>
  <c r="E25" i="17" s="1"/>
  <c r="F18" i="9"/>
  <c r="J18" i="9" s="1"/>
  <c r="B24" i="17" s="1"/>
  <c r="E24" i="17" s="1"/>
  <c r="F23" i="9"/>
  <c r="J23" i="9" s="1"/>
  <c r="F24" i="9"/>
  <c r="J24" i="9" s="1"/>
  <c r="F21" i="9"/>
  <c r="J21" i="9" s="1"/>
  <c r="F20" i="9"/>
  <c r="J20" i="9" s="1"/>
  <c r="B26" i="17" s="1"/>
  <c r="E26" i="17" s="1"/>
  <c r="F17" i="9"/>
  <c r="J17" i="9" s="1"/>
  <c r="F16" i="9"/>
  <c r="F14" i="9"/>
  <c r="F15" i="9"/>
  <c r="F25" i="9"/>
  <c r="B15" i="20" l="1"/>
  <c r="B20" i="20"/>
  <c r="B6" i="21"/>
  <c r="C12" i="17"/>
  <c r="C13" i="17" s="1"/>
  <c r="B30" i="17"/>
  <c r="E30" i="17" s="1"/>
  <c r="F30" i="17" s="1"/>
  <c r="G30" i="17" s="1"/>
  <c r="H30" i="17" s="1"/>
  <c r="K24" i="9"/>
  <c r="B29" i="17"/>
  <c r="E29" i="17" s="1"/>
  <c r="F29" i="17" s="1"/>
  <c r="G29" i="17" s="1"/>
  <c r="H29" i="17" s="1"/>
  <c r="K23" i="9"/>
  <c r="F26" i="17"/>
  <c r="G26" i="17" s="1"/>
  <c r="H26" i="17" s="1"/>
  <c r="J16" i="9"/>
  <c r="B22" i="17" s="1"/>
  <c r="E22" i="17" s="1"/>
  <c r="J25" i="9"/>
  <c r="J22" i="9"/>
  <c r="J15" i="9"/>
  <c r="B21" i="17" s="1"/>
  <c r="E21" i="17" s="1"/>
  <c r="J14" i="9"/>
  <c r="B23" i="17"/>
  <c r="E23" i="17" s="1"/>
  <c r="B27" i="17"/>
  <c r="E27" i="17" s="1"/>
  <c r="F28" i="9"/>
  <c r="B22" i="20" l="1"/>
  <c r="J38" i="17"/>
  <c r="N38" i="17" s="1"/>
  <c r="I13" i="17"/>
  <c r="I36" i="17"/>
  <c r="J36" i="17" s="1"/>
  <c r="F24" i="17"/>
  <c r="G24" i="17" s="1"/>
  <c r="H24" i="17" s="1"/>
  <c r="F25" i="17"/>
  <c r="G25" i="17" s="1"/>
  <c r="H25" i="17" s="1"/>
  <c r="M8" i="21"/>
  <c r="M11" i="21" s="1"/>
  <c r="M12" i="21" s="1"/>
  <c r="M17" i="21" s="1"/>
  <c r="B7" i="21"/>
  <c r="B11" i="21" s="1"/>
  <c r="B20" i="17"/>
  <c r="E20" i="17" s="1"/>
  <c r="F20" i="17" s="1"/>
  <c r="G20" i="17" s="1"/>
  <c r="H20" i="17" s="1"/>
  <c r="F27" i="17"/>
  <c r="G27" i="17" s="1"/>
  <c r="H27" i="17" s="1"/>
  <c r="K22" i="9"/>
  <c r="K25" i="9"/>
  <c r="K14" i="9"/>
  <c r="K15" i="9"/>
  <c r="K16" i="9"/>
  <c r="B31" i="17"/>
  <c r="E31" i="17" s="1"/>
  <c r="F31" i="17" s="1"/>
  <c r="B28" i="17"/>
  <c r="E28" i="17" s="1"/>
  <c r="F28" i="17" s="1"/>
  <c r="G28" i="17" s="1"/>
  <c r="H28" i="17" s="1"/>
  <c r="J28" i="9"/>
  <c r="F23" i="17"/>
  <c r="G23" i="17" s="1"/>
  <c r="H23" i="17" s="1"/>
  <c r="F21" i="17"/>
  <c r="G21" i="17" s="1"/>
  <c r="H21" i="17" s="1"/>
  <c r="F22" i="17"/>
  <c r="G22" i="17" s="1"/>
  <c r="H22" i="17" s="1"/>
  <c r="B14" i="20" l="1"/>
  <c r="B24" i="20" s="1"/>
  <c r="M19" i="20" s="1"/>
  <c r="D22" i="22"/>
  <c r="B15" i="21"/>
  <c r="B20" i="21"/>
  <c r="L36" i="17"/>
  <c r="L37" i="17" s="1"/>
  <c r="N36" i="17"/>
  <c r="G31" i="17"/>
  <c r="H31" i="17" s="1"/>
  <c r="J37" i="9"/>
  <c r="K37" i="9" s="1"/>
  <c r="B34" i="17"/>
  <c r="B40" i="17" s="1"/>
  <c r="K28" i="9"/>
  <c r="L28" i="9" s="1"/>
  <c r="J30" i="9"/>
  <c r="I30" i="9" s="1"/>
  <c r="E34" i="17"/>
  <c r="F34" i="17"/>
  <c r="D37" i="22" l="1"/>
  <c r="E37" i="22" s="1"/>
  <c r="E22" i="22"/>
  <c r="B22" i="21"/>
  <c r="G34" i="17"/>
  <c r="I15" i="17" s="1"/>
  <c r="H34" i="17"/>
  <c r="I28" i="17" l="1"/>
  <c r="I30" i="17"/>
  <c r="I29" i="17"/>
  <c r="I26" i="17"/>
  <c r="I24" i="17"/>
  <c r="I25" i="17"/>
  <c r="I27" i="17"/>
  <c r="I20" i="17"/>
  <c r="J20" i="17" s="1"/>
  <c r="I21" i="17"/>
  <c r="J21" i="17" s="1"/>
  <c r="I22" i="17"/>
  <c r="J22" i="17" s="1"/>
  <c r="I31" i="17"/>
  <c r="J31" i="17" s="1"/>
  <c r="I23" i="17"/>
  <c r="J29" i="17" l="1"/>
  <c r="M29" i="17"/>
  <c r="N29" i="17" s="1"/>
  <c r="J28" i="17"/>
  <c r="M28" i="17"/>
  <c r="N28" i="17" s="1"/>
  <c r="J27" i="17"/>
  <c r="M27" i="17"/>
  <c r="N27" i="17" s="1"/>
  <c r="J25" i="17"/>
  <c r="M25" i="17"/>
  <c r="N25" i="17" s="1"/>
  <c r="M30" i="17"/>
  <c r="N30" i="17" s="1"/>
  <c r="J30" i="17"/>
  <c r="M24" i="17"/>
  <c r="N24" i="17" s="1"/>
  <c r="J24" i="17"/>
  <c r="J26" i="17"/>
  <c r="M26" i="17"/>
  <c r="N26" i="17" s="1"/>
  <c r="J23" i="17"/>
  <c r="M23" i="17"/>
  <c r="N23" i="17" s="1"/>
  <c r="M20" i="17"/>
  <c r="N20" i="17" s="1"/>
  <c r="M22" i="17"/>
  <c r="N22" i="17" s="1"/>
  <c r="M31" i="17"/>
  <c r="N31" i="17" s="1"/>
  <c r="M21" i="17"/>
  <c r="N21" i="17" s="1"/>
  <c r="I34" i="17"/>
  <c r="I16" i="17" l="1"/>
  <c r="J16" i="17" s="1"/>
  <c r="J34" i="17"/>
  <c r="M34" i="17"/>
  <c r="N34" i="17"/>
  <c r="B14" i="21" s="1"/>
  <c r="I40" i="17"/>
  <c r="B24" i="21" l="1"/>
  <c r="M19" i="21" s="1"/>
  <c r="N40" i="17"/>
  <c r="J40" i="17"/>
</calcChain>
</file>

<file path=xl/sharedStrings.xml><?xml version="1.0" encoding="utf-8"?>
<sst xmlns="http://schemas.openxmlformats.org/spreadsheetml/2006/main" count="222" uniqueCount="170">
  <si>
    <t>Password:</t>
  </si>
  <si>
    <t>CTL02</t>
  </si>
  <si>
    <t>LEVY INPUT PAGE - ASSUMPTIONS</t>
  </si>
  <si>
    <t>Fill out County names as needed - leave other boxes blank</t>
  </si>
  <si>
    <t>Enter "x" in one box only</t>
  </si>
  <si>
    <t>Limiting Rate:</t>
  </si>
  <si>
    <t>Truth in Taxation</t>
  </si>
  <si>
    <t>(Prior Year Extension x (1+Lesser of 5% or CPI))</t>
  </si>
  <si>
    <t>Yes</t>
  </si>
  <si>
    <t>No</t>
  </si>
  <si>
    <t>x</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</si>
  <si>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</si>
  <si>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</si>
  <si>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</si>
  <si>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</si>
  <si>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</si>
  <si>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</si>
  <si>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</si>
  <si>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</si>
  <si>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</si>
  <si>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</si>
  <si>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</si>
  <si>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</si>
  <si>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</si>
  <si>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</si>
  <si>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</si>
  <si>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</si>
  <si>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</si>
  <si>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r>
      <t xml:space="preserve"> Include Abatements for Truth in Taxation </t>
    </r>
    <r>
      <rPr>
        <sz val="10"/>
        <rFont val="Times New Roman"/>
        <family val="1"/>
      </rPr>
      <t>(35 ILCS 200/18-70)</t>
    </r>
  </si>
  <si>
    <t>(Total EAV - New Property)</t>
  </si>
  <si>
    <t>District Assumptions &amp; Data Entry</t>
  </si>
  <si>
    <t>Calculated Values</t>
  </si>
  <si>
    <t>Legend</t>
  </si>
  <si>
    <t>Original Assumptions</t>
  </si>
  <si>
    <t xml:space="preserve"> Includes Loss % Added by County Clerk(s)</t>
  </si>
  <si>
    <t>Review Needed</t>
  </si>
  <si>
    <t xml:space="preserve"> Includes New Property</t>
  </si>
  <si>
    <t>Scenario Assumptions</t>
  </si>
  <si>
    <t xml:space="preserve">District Number </t>
  </si>
  <si>
    <t xml:space="preserve">District Name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</si>
  <si>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</si>
  <si>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</si>
  <si>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</si>
  <si>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</si>
  <si>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</si>
  <si>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</si>
  <si>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</si>
  <si>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</si>
  <si>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</si>
  <si>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</si>
  <si>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Municipal Retirement </t>
  </si>
  <si>
    <t xml:space="preserve">Social Security </t>
  </si>
  <si>
    <t xml:space="preserve">Custom Fund Name </t>
  </si>
  <si>
    <t>Prior Year Extension</t>
  </si>
  <si>
    <t xml:space="preserve">Limiting Rate </t>
  </si>
  <si>
    <t xml:space="preserve">Estimated Capped Extension </t>
  </si>
  <si>
    <t xml:space="preserve">Estimated Bond and Interest Levy </t>
  </si>
  <si>
    <t xml:space="preserve">Total Levy </t>
  </si>
  <si>
    <t xml:space="preserve">Aggregate or County 1 </t>
  </si>
  <si>
    <t xml:space="preserve">Cook County Prior Year EAV Limit </t>
  </si>
  <si>
    <t xml:space="preserve"> Enter District Name</t>
  </si>
  <si>
    <t xml:space="preserve"> Enter District Number</t>
  </si>
  <si>
    <t xml:space="preserve"> Choose Yes or No</t>
  </si>
  <si>
    <t xml:space="preserve"> Enter Estimated New Property</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</si>
  <si>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</si>
  <si>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</si>
  <si>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</si>
  <si>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</si>
  <si>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</si>
  <si>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</si>
  <si>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</si>
  <si>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</si>
  <si>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</si>
  <si>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</si>
  <si>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(County Clerk Levies Bond &amp; Interest for the District, Verify Records with County Clerk)</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</si>
  <si>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</si>
  <si>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</si>
  <si>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</si>
  <si>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</si>
  <si>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</si>
  <si>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</si>
  <si>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</si>
  <si>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</si>
  <si>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</si>
  <si>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</si>
  <si>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</si>
  <si>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</si>
  <si>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</si>
  <si>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</si>
  <si>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</si>
  <si>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</si>
  <si>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</si>
  <si>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Original Estimate</t>
  </si>
  <si>
    <t>Scenario Actual</t>
  </si>
  <si>
    <t>Levy Increase %</t>
  </si>
  <si>
    <t xml:space="preserve">Final Levy Amount </t>
  </si>
  <si>
    <t xml:space="preserve">Please read the "Disclaimer" worksheet.  Use of this workbook represents acceptance of the terms of the Disclaimer.  </t>
  </si>
  <si>
    <t>Special Recreation</t>
  </si>
  <si>
    <t xml:space="preserve">Actual Special Recreation Extension/Rate </t>
  </si>
  <si>
    <t>Special Recreation Levy</t>
  </si>
  <si>
    <t>Target Rate for Special Recreation Levy</t>
  </si>
  <si>
    <t>Estimated Special Recreation Levy</t>
  </si>
  <si>
    <t>Lesser of 5% or Consumer Price Index</t>
  </si>
  <si>
    <t>I think we should remove these two lines as well</t>
  </si>
  <si>
    <t>Note, do not include the amount of PTAB revenue recapture added to the extension pursuant to Public Act 102-0519.</t>
  </si>
  <si>
    <r>
      <rPr>
        <b/>
        <u/>
        <sz val="9"/>
        <rFont val="Times New Roman"/>
        <family val="1"/>
      </rPr>
      <t>Critical Assumptions</t>
    </r>
    <r>
      <rPr>
        <b/>
        <sz val="9"/>
        <rFont val="Times New Roman"/>
        <family val="1"/>
      </rPr>
      <t xml:space="preserve"> - Formulas in this workbook are dependent on assumptions entered for PTELL &amp; Cook County questions</t>
    </r>
  </si>
  <si>
    <t>Original Assumptions from Calculations Tab</t>
  </si>
  <si>
    <t>Taxpayer Impact</t>
  </si>
  <si>
    <t>Includes EAV % Change</t>
  </si>
  <si>
    <t>Cook</t>
  </si>
  <si>
    <t>DuPage</t>
  </si>
  <si>
    <t>Total Assessed Value</t>
  </si>
  <si>
    <t>Lake</t>
  </si>
  <si>
    <t>State Equalization Multiplier</t>
  </si>
  <si>
    <t>McHenry</t>
  </si>
  <si>
    <t>Kane</t>
  </si>
  <si>
    <t>Based on County 1 on the input tab</t>
  </si>
  <si>
    <t>Will</t>
  </si>
  <si>
    <t xml:space="preserve"> Includes Loss Cost</t>
  </si>
  <si>
    <t>Homestead Exemption LY23</t>
  </si>
  <si>
    <t>Bond &amp; Interest Lost Cost (%)</t>
  </si>
  <si>
    <t>Net Equalized Assessed Value</t>
  </si>
  <si>
    <t>Bond &amp; Interest Abatement</t>
  </si>
  <si>
    <t xml:space="preserve">Enter debt service to be abated </t>
  </si>
  <si>
    <t>Bond &amp; Interest Rate Abatement</t>
  </si>
  <si>
    <t>Cannot exceed estimated B&amp;I Tax Rate</t>
  </si>
  <si>
    <t>Note, if the B&amp;I levy on the "Calculations" tab was reduced by an expected abatement, it will need to be removed to prevent double counting the abatement.</t>
  </si>
  <si>
    <t>Total Prior Year's Tax Rate</t>
  </si>
  <si>
    <t>Scenario Assumptions from Extension Tab</t>
  </si>
  <si>
    <t>If the actual Bond &amp; Interest extension is known and input on the "Extension" tab in cell I36, no input is needed for the Loss Cost and Abatement cells.</t>
  </si>
  <si>
    <t xml:space="preserve">Liability Insurance </t>
  </si>
  <si>
    <t xml:space="preserve">Buildings Equipment and Maintenance </t>
  </si>
  <si>
    <t xml:space="preserve">Workman's Compensation </t>
  </si>
  <si>
    <t xml:space="preserve">Unemployment Insurance </t>
  </si>
  <si>
    <t xml:space="preserve">Audit </t>
  </si>
  <si>
    <t xml:space="preserve">Working Cash Funds </t>
  </si>
  <si>
    <t xml:space="preserve">Corporate </t>
  </si>
  <si>
    <t xml:space="preserve">Custom 1 </t>
  </si>
  <si>
    <t xml:space="preserve">Custom 2 </t>
  </si>
  <si>
    <t xml:space="preserve">Custom 3 </t>
  </si>
  <si>
    <t>rlewis@pmanetwork.com</t>
  </si>
  <si>
    <t>Andrew Kim:</t>
  </si>
  <si>
    <t>Steve Adams:</t>
  </si>
  <si>
    <t>Bob Lewis:</t>
  </si>
  <si>
    <t>If you have a question, please contact any member of our municipal advisory team listed below:</t>
  </si>
  <si>
    <t>It does not include the recapture levy or property taxes paid for other District purposes and to other governments. Actual tax rates and payments may vary based on District-wide EAV growth, individual homeowner reassessment, State Law changes, property tax rate initiatives and other factors.</t>
  </si>
  <si>
    <t xml:space="preserve"> If entering a dollar amount for EAV, please select "Yes," if growth %, please select "No"</t>
  </si>
  <si>
    <t>NOTICE OF PROPOSED PROPERTY TAX INCREASE FOR</t>
  </si>
  <si>
    <t>I.</t>
  </si>
  <si>
    <t>II.</t>
  </si>
  <si>
    <t>III.</t>
  </si>
  <si>
    <t>IV.</t>
  </si>
  <si>
    <t>Cook County</t>
  </si>
  <si>
    <t>Triennial Reassessment Cycle</t>
  </si>
  <si>
    <t>North Suburbs - 2025</t>
  </si>
  <si>
    <t>South &amp; West Suburbs - 2026</t>
  </si>
  <si>
    <t>Any person desiring to appear at the public hearing and present testimony to the taxing</t>
  </si>
  <si>
    <t>District Information</t>
  </si>
  <si>
    <t>District Name:</t>
  </si>
  <si>
    <t>Hearing Date:</t>
  </si>
  <si>
    <t>Hearing Address:</t>
  </si>
  <si>
    <t>Hearing Municipality:</t>
  </si>
  <si>
    <t>Hearing Zip Code:</t>
  </si>
  <si>
    <t>District contact name:</t>
  </si>
  <si>
    <t>District contact email address:</t>
  </si>
  <si>
    <t>*Please use an apostrophe (') in front of the Hearing Time.</t>
  </si>
  <si>
    <t>City of Chicago - 2027</t>
  </si>
  <si>
    <t>Hearing Time*:</t>
  </si>
  <si>
    <t>andrew.kim@ptma.com</t>
  </si>
  <si>
    <t>steve.adams@ptma.com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</si>
</sst>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3" formatCode="_(* #,##0.00_);_(* \(#,##0.00\);_(* &quot;-&quot;??_);_(@_)"/>
    <numFmt numFmtId="164" formatCode="[$$-409]#,##0.00_);[Red]\([$$-409]#,##0.00\)"/>
    <numFmt numFmtId="165" formatCode="0.000%"/>
    <numFmt numFmtId="166" formatCode="[$$-409]#,##0.00_);\([$$-409]#,##0.00\)"/>
    <numFmt numFmtId="167" formatCode="[$$-409]#,##0_);[Red]\([$$-409]#,##0\)"/>
    <numFmt numFmtId="168" formatCode="0.0000%"/>
    <numFmt numFmtId="169" formatCode="0.0000"/>
    <numFmt numFmtId="170" formatCode="0.000"/>
    <numFmt numFmtId="171" formatCode="#,##0.000_);\(#,##0.000\)"/>
    <numFmt numFmtId="172" formatCode="[$$-409]#,##0.0000_);[Red]\([$$-409]#,##0.0000\)"/>
    <numFmt numFmtId="173" formatCode="0.0%"/>
    <numFmt numFmtId="174" formatCode="&quot;$&quot;#,##0.00"/>
    <numFmt numFmtId="175" formatCode="&quot;$&quot;#,##0.0000"/>
    <numFmt numFmtId="176" formatCode="&quot;$&quot;#,##0"/>
    <numFmt numFmtId="177" formatCode="_(&quot;$&quot;* #,##0_);_(&quot;$&quot;* \(#,##0\);_(&quot;$&quot;* &quot;-&quot;??_);_(@_)"/>
    <numFmt numFmtId="178" formatCode="&quot;. This represents a&quot;\ 0.00%\ &quot;increase over the previous year&quot;"/>
    <numFmt numFmtId="179" formatCode="[$-F800]dddd\,\ mmmm\ dd\,\ yyyy"/>
    <numFmt numFmtId="180" formatCode="[$-F400]h:mm:ss\ AM/PM"/>
  </numFmts>
  <fonts count="51" x14ac:knownFonts="1">
    <font>
      <sz val="10"/>
      <name val="Arial"/>
    </font>
    <font>
      <sz val="10"/>
      <name val="Arial"/>
      <family val="2"/>
    </font>
    <font>
      <b/>
      <sz val="12"/>
      <name val="Arial"/>
      <family val="2"/>
    </font>
    <font>
      <sz val="8"/>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u/>
      <sz val="10"/>
      <name val="Times New Roman"/>
      <family val="1"/>
    </font>
    <font>
      <b/>
      <sz val="10"/>
      <color theme="1"/>
      <name val="Times New Roman"/>
      <family val="1"/>
    </font>
    <font>
      <sz val="10"/>
      <color theme="1"/>
      <name val="Times New Roman"/>
      <family val="1"/>
    </font>
    <font>
      <b/>
      <sz val="9"/>
      <name val="Times New Roman"/>
      <family val="1"/>
    </font>
    <font>
      <b/>
      <u/>
      <sz val="9"/>
      <name val="Times New Roman"/>
      <family val="1"/>
    </font>
    <font>
      <sz val="10"/>
      <color theme="0" tint="-4.9989318521683403E-2"/>
      <name val="Times New Roman"/>
      <family val="1"/>
    </font>
    <font>
      <sz val="10"/>
      <color theme="1" tint="0.34998626667073579"/>
      <name val="Arial"/>
      <family val="2"/>
    </font>
    <font>
      <sz val="9"/>
      <name val="Times New Roman"/>
      <family val="1"/>
    </font>
    <font>
      <u/>
      <sz val="10"/>
      <color theme="10"/>
      <name val="Arial"/>
      <family val="2"/>
    </font>
    <font>
      <sz val="12"/>
      <name val="Times New Roman"/>
      <family val="1"/>
    </font>
    <font>
      <b/>
      <i/>
      <sz val="12"/>
      <name val="Times New Roman"/>
      <family val="1"/>
    </font>
    <font>
      <u/>
      <sz val="12"/>
      <color theme="10"/>
      <name val="Times New Roman"/>
      <family val="1"/>
    </font>
    <font>
      <u/>
      <sz val="10"/>
      <color theme="0"/>
      <name val="Times New Roman"/>
      <family val="1"/>
    </font>
    <font>
      <sz val="12"/>
      <color theme="0"/>
      <name val="Times New Roman"/>
      <family val="1"/>
    </font>
    <font>
      <u/>
      <sz val="11"/>
      <name val="Times New Roman"/>
      <family val="1"/>
    </font>
    <font>
      <sz val="11"/>
      <name val="Times New Roman"/>
      <family val="1"/>
    </font>
  </fonts>
  <fills count="11">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DCE6F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43" fillId="0" borderId="0" applyNumberFormat="0" applyFill="0" applyBorder="0" applyAlignment="0" applyProtection="0"/>
  </cellStyleXfs>
  <cellXfs count="327">
    <xf numFmtId="0" fontId="0" fillId="0" borderId="0" xfId="0"/>
    <xf numFmtId="0" fontId="4" fillId="0" borderId="0" xfId="0" applyFont="1" applyProtection="1">
      <protection hidden="1"/>
    </xf>
    <xf numFmtId="0" fontId="5" fillId="0" borderId="0" xfId="0" applyFont="1" applyAlignment="1" applyProtection="1">
      <alignment horizontal="right"/>
      <protection hidden="1"/>
    </xf>
    <xf numFmtId="164" fontId="4" fillId="0" borderId="0" xfId="0" applyNumberFormat="1" applyFont="1" applyProtection="1">
      <protection hidden="1"/>
    </xf>
    <xf numFmtId="164" fontId="5" fillId="0" borderId="0" xfId="0" applyNumberFormat="1" applyFont="1" applyProtection="1">
      <protection hidden="1"/>
    </xf>
    <xf numFmtId="0" fontId="5" fillId="0" borderId="0" xfId="0" applyFont="1" applyAlignment="1" applyProtection="1">
      <alignment horizontal="right" vertical="center"/>
      <protection hidden="1"/>
    </xf>
    <xf numFmtId="165" fontId="5" fillId="0" borderId="0" xfId="2" applyNumberFormat="1" applyFont="1" applyBorder="1" applyAlignment="1" applyProtection="1">
      <alignment horizontal="center"/>
      <protection hidden="1"/>
    </xf>
    <xf numFmtId="164" fontId="5" fillId="0" borderId="0" xfId="0" applyNumberFormat="1" applyFont="1" applyAlignment="1" applyProtection="1">
      <alignment horizontal="center"/>
      <protection hidden="1"/>
    </xf>
    <xf numFmtId="0" fontId="9" fillId="0" borderId="0" xfId="0" applyFont="1" applyAlignment="1" applyProtection="1">
      <alignment horizontal="center" wrapText="1"/>
      <protection hidden="1"/>
    </xf>
    <xf numFmtId="0" fontId="9" fillId="0" borderId="0" xfId="0" applyFont="1" applyAlignment="1" applyProtection="1">
      <alignment horizontal="center"/>
      <protection hidden="1"/>
    </xf>
    <xf numFmtId="164" fontId="4" fillId="0" borderId="2" xfId="0" applyNumberFormat="1" applyFont="1" applyBorder="1" applyProtection="1">
      <protection hidden="1"/>
    </xf>
    <xf numFmtId="0" fontId="0" fillId="0" borderId="0" xfId="0" applyProtection="1">
      <protection hidden="1"/>
    </xf>
    <xf numFmtId="0" fontId="4" fillId="0" borderId="0" xfId="0" applyFont="1" applyAlignment="1" applyProtection="1">
      <alignment horizontal="center"/>
      <protection hidden="1"/>
    </xf>
    <xf numFmtId="0" fontId="4" fillId="3" borderId="0" xfId="0" applyFont="1" applyFill="1" applyAlignment="1" applyProtection="1">
      <alignment horizontal="right"/>
      <protection hidden="1"/>
    </xf>
    <xf numFmtId="0" fontId="4" fillId="3" borderId="0" xfId="0" applyFont="1" applyFill="1" applyProtection="1">
      <protection hidden="1"/>
    </xf>
    <xf numFmtId="0" fontId="4" fillId="3" borderId="0" xfId="0" applyFont="1" applyFill="1" applyAlignment="1" applyProtection="1">
      <alignment horizontal="center"/>
      <protection hidden="1"/>
    </xf>
    <xf numFmtId="0" fontId="24" fillId="0" borderId="0" xfId="0" applyFont="1" applyAlignment="1">
      <alignment horizontal="left" vertical="center" indent="2"/>
    </xf>
    <xf numFmtId="0" fontId="15" fillId="0" borderId="0" xfId="0" applyFont="1"/>
    <xf numFmtId="0" fontId="25" fillId="0" borderId="0" xfId="0" applyFont="1" applyAlignment="1">
      <alignment horizontal="left" vertical="center" indent="2"/>
    </xf>
    <xf numFmtId="0" fontId="17" fillId="0" borderId="0" xfId="0" applyFont="1" applyAlignment="1">
      <alignment horizontal="left" vertical="center" indent="2"/>
    </xf>
    <xf numFmtId="0" fontId="17" fillId="0" borderId="0" xfId="0" applyFont="1" applyAlignment="1">
      <alignment vertical="center"/>
    </xf>
    <xf numFmtId="0" fontId="26" fillId="0" borderId="0" xfId="0" applyFont="1" applyAlignment="1">
      <alignment horizontal="left"/>
    </xf>
    <xf numFmtId="0" fontId="27" fillId="0" borderId="0" xfId="0" applyFont="1" applyAlignment="1">
      <alignment horizontal="left" vertical="center" indent="2"/>
    </xf>
    <xf numFmtId="0" fontId="2" fillId="0" borderId="0" xfId="0" applyFont="1"/>
    <xf numFmtId="0" fontId="28" fillId="0" borderId="0" xfId="0" applyFont="1" applyAlignment="1">
      <alignment vertical="center"/>
    </xf>
    <xf numFmtId="0" fontId="29" fillId="0" borderId="0" xfId="0" applyFont="1" applyAlignment="1">
      <alignment horizontal="left" vertical="center" indent="12"/>
    </xf>
    <xf numFmtId="0" fontId="15" fillId="0" borderId="0" xfId="0" applyFont="1" applyAlignment="1">
      <alignment horizontal="left" indent="13"/>
    </xf>
    <xf numFmtId="0" fontId="29" fillId="0" borderId="0" xfId="0" applyFont="1" applyAlignment="1">
      <alignment horizontal="left" vertical="center" indent="14"/>
    </xf>
    <xf numFmtId="0" fontId="24" fillId="0" borderId="0" xfId="0" applyFont="1" applyAlignment="1">
      <alignment horizontal="left" vertical="center" indent="13"/>
    </xf>
    <xf numFmtId="0" fontId="2" fillId="0" borderId="0" xfId="0" applyFont="1" applyAlignment="1">
      <alignment horizontal="left" indent="13"/>
    </xf>
    <xf numFmtId="0" fontId="15" fillId="0" borderId="0" xfId="0" applyFont="1" applyAlignment="1">
      <alignment horizontal="left" indent="25"/>
    </xf>
    <xf numFmtId="0" fontId="15" fillId="0" borderId="0" xfId="0" applyFont="1" applyAlignment="1">
      <alignment horizontal="left" indent="14"/>
    </xf>
    <xf numFmtId="0" fontId="15" fillId="0" borderId="0" xfId="0" applyFont="1" applyAlignment="1">
      <alignment horizontal="left" indent="12"/>
    </xf>
    <xf numFmtId="0" fontId="30" fillId="0" borderId="0" xfId="0" applyFont="1" applyAlignment="1">
      <alignment horizontal="left" vertical="center" indent="16"/>
    </xf>
    <xf numFmtId="0" fontId="15" fillId="0" borderId="0" xfId="0" applyFont="1" applyAlignment="1">
      <alignment horizontal="left" indent="21"/>
    </xf>
    <xf numFmtId="0" fontId="24" fillId="0" borderId="0" xfId="0" applyFont="1" applyAlignment="1">
      <alignment horizontal="left" vertical="center" indent="21"/>
    </xf>
    <xf numFmtId="0" fontId="22" fillId="0" borderId="0" xfId="0" applyFont="1"/>
    <xf numFmtId="0" fontId="31" fillId="0" borderId="0" xfId="0" applyFont="1" applyAlignment="1">
      <alignment horizontal="left" vertical="center"/>
    </xf>
    <xf numFmtId="0" fontId="23" fillId="0" borderId="0" xfId="0" applyFont="1" applyAlignment="1">
      <alignment horizontal="left"/>
    </xf>
    <xf numFmtId="0" fontId="22" fillId="0" borderId="0" xfId="0" applyFont="1" applyAlignment="1">
      <alignment horizontal="left"/>
    </xf>
    <xf numFmtId="0" fontId="31" fillId="0" borderId="0" xfId="0" applyFont="1" applyAlignment="1">
      <alignment vertical="center"/>
    </xf>
    <xf numFmtId="0" fontId="23" fillId="0" borderId="0" xfId="0" applyFont="1"/>
    <xf numFmtId="167" fontId="5" fillId="0" borderId="3" xfId="0" applyNumberFormat="1" applyFont="1" applyBorder="1" applyProtection="1">
      <protection hidden="1"/>
    </xf>
    <xf numFmtId="0" fontId="5" fillId="0" borderId="0" xfId="0" applyFont="1" applyAlignment="1" applyProtection="1">
      <alignment vertical="center"/>
      <protection hidden="1"/>
    </xf>
    <xf numFmtId="0" fontId="10" fillId="0" borderId="0" xfId="0" applyFont="1" applyProtection="1">
      <protection hidden="1"/>
    </xf>
    <xf numFmtId="0" fontId="5" fillId="0" borderId="0" xfId="0" applyFont="1" applyProtection="1">
      <protection hidden="1"/>
    </xf>
    <xf numFmtId="167" fontId="9" fillId="0" borderId="0" xfId="0" applyNumberFormat="1" applyFont="1" applyProtection="1">
      <protection hidden="1"/>
    </xf>
    <xf numFmtId="0" fontId="9" fillId="0" borderId="0" xfId="0" applyFont="1" applyAlignment="1" applyProtection="1">
      <alignment horizontal="right"/>
      <protection hidden="1"/>
    </xf>
    <xf numFmtId="0" fontId="4" fillId="0" borderId="0" xfId="0" applyFont="1" applyAlignment="1" applyProtection="1">
      <alignment horizontal="right"/>
      <protection hidden="1"/>
    </xf>
    <xf numFmtId="0" fontId="5" fillId="0" borderId="0" xfId="0" applyFont="1" applyAlignment="1" applyProtection="1">
      <alignment horizontal="center"/>
      <protection hidden="1"/>
    </xf>
    <xf numFmtId="0" fontId="7" fillId="0" borderId="0" xfId="0" applyFont="1" applyProtection="1">
      <protection hidden="1"/>
    </xf>
    <xf numFmtId="0" fontId="12" fillId="0" borderId="0" xfId="0" applyFont="1" applyProtection="1">
      <protection hidden="1"/>
    </xf>
    <xf numFmtId="0" fontId="34" fillId="0" borderId="0" xfId="0" applyFont="1" applyProtection="1">
      <protection hidden="1"/>
    </xf>
    <xf numFmtId="167" fontId="4" fillId="7" borderId="1" xfId="0" applyNumberFormat="1" applyFont="1" applyFill="1" applyBorder="1" applyProtection="1">
      <protection hidden="1"/>
    </xf>
    <xf numFmtId="167" fontId="4" fillId="5" borderId="10" xfId="0" applyNumberFormat="1" applyFont="1" applyFill="1" applyBorder="1" applyProtection="1">
      <protection locked="0"/>
    </xf>
    <xf numFmtId="167" fontId="4" fillId="5" borderId="1" xfId="0" applyNumberFormat="1" applyFont="1" applyFill="1" applyBorder="1" applyProtection="1">
      <protection locked="0"/>
    </xf>
    <xf numFmtId="168" fontId="5" fillId="7" borderId="1" xfId="2" applyNumberFormat="1" applyFont="1" applyFill="1" applyBorder="1" applyAlignment="1" applyProtection="1">
      <alignment horizontal="center"/>
      <protection hidden="1"/>
    </xf>
    <xf numFmtId="10" fontId="9" fillId="5" borderId="1" xfId="0" applyNumberFormat="1" applyFont="1" applyFill="1" applyBorder="1" applyAlignment="1" applyProtection="1">
      <alignment horizontal="center"/>
      <protection locked="0"/>
    </xf>
    <xf numFmtId="167" fontId="5" fillId="7" borderId="1" xfId="0" applyNumberFormat="1" applyFont="1" applyFill="1" applyBorder="1" applyAlignment="1" applyProtection="1">
      <alignment horizontal="center"/>
      <protection hidden="1"/>
    </xf>
    <xf numFmtId="164" fontId="4" fillId="7" borderId="1" xfId="0" applyNumberFormat="1" applyFont="1" applyFill="1" applyBorder="1" applyProtection="1">
      <protection hidden="1"/>
    </xf>
    <xf numFmtId="164" fontId="4" fillId="5" borderId="1" xfId="0" applyNumberFormat="1" applyFont="1" applyFill="1" applyBorder="1" applyProtection="1">
      <protection locked="0"/>
    </xf>
    <xf numFmtId="167" fontId="5" fillId="7" borderId="1" xfId="0" applyNumberFormat="1" applyFont="1" applyFill="1" applyBorder="1" applyProtection="1">
      <protection hidden="1"/>
    </xf>
    <xf numFmtId="164" fontId="5" fillId="7" borderId="1" xfId="0" applyNumberFormat="1" applyFont="1" applyFill="1" applyBorder="1" applyProtection="1">
      <protection hidden="1"/>
    </xf>
    <xf numFmtId="164" fontId="5" fillId="7" borderId="1" xfId="0" applyNumberFormat="1" applyFont="1" applyFill="1" applyBorder="1" applyAlignment="1" applyProtection="1">
      <alignment horizontal="center"/>
      <protection hidden="1"/>
    </xf>
    <xf numFmtId="164" fontId="4" fillId="7" borderId="1" xfId="0" applyNumberFormat="1" applyFont="1" applyFill="1" applyBorder="1"/>
    <xf numFmtId="10" fontId="4" fillId="5" borderId="1" xfId="2" applyNumberFormat="1" applyFont="1" applyFill="1" applyBorder="1" applyAlignment="1" applyProtection="1">
      <alignment horizontal="center"/>
      <protection locked="0"/>
    </xf>
    <xf numFmtId="164" fontId="5" fillId="7" borderId="1" xfId="0" applyNumberFormat="1" applyFont="1" applyFill="1" applyBorder="1"/>
    <xf numFmtId="166" fontId="9" fillId="7" borderId="5" xfId="0" applyNumberFormat="1" applyFont="1" applyFill="1" applyBorder="1" applyAlignment="1">
      <alignment horizontal="right"/>
    </xf>
    <xf numFmtId="0" fontId="4" fillId="5" borderId="1" xfId="0" applyFont="1" applyFill="1" applyBorder="1" applyAlignment="1" applyProtection="1">
      <alignment horizontal="center"/>
      <protection locked="0"/>
    </xf>
    <xf numFmtId="0" fontId="5" fillId="5" borderId="1" xfId="0" applyFont="1" applyFill="1" applyBorder="1" applyAlignment="1" applyProtection="1">
      <alignment horizontal="right"/>
      <protection locked="0"/>
    </xf>
    <xf numFmtId="0" fontId="4" fillId="7" borderId="14" xfId="0" applyFont="1" applyFill="1" applyBorder="1" applyProtection="1">
      <protection hidden="1"/>
    </xf>
    <xf numFmtId="0" fontId="4" fillId="7" borderId="15" xfId="0" applyFont="1" applyFill="1" applyBorder="1" applyProtection="1">
      <protection hidden="1"/>
    </xf>
    <xf numFmtId="0" fontId="6" fillId="4" borderId="0" xfId="0" applyFont="1" applyFill="1" applyProtection="1">
      <protection hidden="1"/>
    </xf>
    <xf numFmtId="0" fontId="4" fillId="4" borderId="0" xfId="0" applyFont="1" applyFill="1" applyProtection="1">
      <protection hidden="1"/>
    </xf>
    <xf numFmtId="0" fontId="4" fillId="4" borderId="0" xfId="0" applyFont="1" applyFill="1" applyAlignment="1" applyProtection="1">
      <alignment horizontal="right"/>
      <protection hidden="1"/>
    </xf>
    <xf numFmtId="0" fontId="5" fillId="4" borderId="0" xfId="0" applyFont="1" applyFill="1" applyAlignment="1" applyProtection="1">
      <alignment horizontal="right"/>
      <protection hidden="1"/>
    </xf>
    <xf numFmtId="0" fontId="7" fillId="4" borderId="0" xfId="0" applyFont="1" applyFill="1" applyProtection="1">
      <protection hidden="1"/>
    </xf>
    <xf numFmtId="0" fontId="11" fillId="4" borderId="0" xfId="0" applyFont="1" applyFill="1" applyAlignment="1" applyProtection="1">
      <alignment horizontal="right"/>
      <protection hidden="1"/>
    </xf>
    <xf numFmtId="0" fontId="7" fillId="4" borderId="0" xfId="0" applyFont="1" applyFill="1" applyAlignment="1" applyProtection="1">
      <alignment horizontal="left"/>
      <protection hidden="1"/>
    </xf>
    <xf numFmtId="0" fontId="9" fillId="4" borderId="0" xfId="0" applyFont="1" applyFill="1" applyAlignment="1" applyProtection="1">
      <alignment horizontal="right"/>
      <protection hidden="1"/>
    </xf>
    <xf numFmtId="0" fontId="8" fillId="4" borderId="0" xfId="0" applyFont="1" applyFill="1" applyAlignment="1" applyProtection="1">
      <alignment horizontal="center"/>
      <protection hidden="1"/>
    </xf>
    <xf numFmtId="164" fontId="4" fillId="4" borderId="0" xfId="0" applyNumberFormat="1" applyFont="1" applyFill="1" applyProtection="1">
      <protection hidden="1"/>
    </xf>
    <xf numFmtId="164" fontId="5" fillId="4" borderId="0" xfId="0" applyNumberFormat="1" applyFont="1" applyFill="1" applyProtection="1">
      <protection hidden="1"/>
    </xf>
    <xf numFmtId="0" fontId="4" fillId="4" borderId="0" xfId="0" applyFont="1" applyFill="1" applyAlignment="1" applyProtection="1">
      <alignment horizontal="left"/>
      <protection hidden="1"/>
    </xf>
    <xf numFmtId="0" fontId="4" fillId="5" borderId="13" xfId="0" applyFont="1" applyFill="1" applyBorder="1" applyProtection="1">
      <protection hidden="1"/>
    </xf>
    <xf numFmtId="0" fontId="4" fillId="3" borderId="11" xfId="0" applyFont="1" applyFill="1" applyBorder="1" applyProtection="1">
      <protection hidden="1"/>
    </xf>
    <xf numFmtId="0" fontId="5" fillId="4" borderId="0" xfId="0" applyFont="1" applyFill="1" applyAlignment="1" applyProtection="1">
      <alignment horizontal="center"/>
      <protection hidden="1"/>
    </xf>
    <xf numFmtId="10" fontId="4" fillId="7" borderId="1" xfId="2" applyNumberFormat="1" applyFont="1" applyFill="1" applyBorder="1" applyProtection="1">
      <protection hidden="1"/>
    </xf>
    <xf numFmtId="10" fontId="4" fillId="5" borderId="10" xfId="2" applyNumberFormat="1" applyFont="1" applyFill="1" applyBorder="1" applyProtection="1">
      <protection locked="0"/>
    </xf>
    <xf numFmtId="10" fontId="9" fillId="7" borderId="9" xfId="2" applyNumberFormat="1" applyFont="1" applyFill="1" applyBorder="1" applyAlignment="1" applyProtection="1">
      <alignment horizontal="right"/>
      <protection hidden="1"/>
    </xf>
    <xf numFmtId="10" fontId="9" fillId="7" borderId="1" xfId="2" applyNumberFormat="1" applyFont="1" applyFill="1" applyBorder="1" applyAlignment="1" applyProtection="1">
      <alignment horizontal="right"/>
      <protection hidden="1"/>
    </xf>
    <xf numFmtId="10" fontId="4" fillId="7" borderId="1" xfId="0" applyNumberFormat="1" applyFont="1" applyFill="1" applyBorder="1" applyAlignment="1" applyProtection="1">
      <alignment horizontal="right"/>
      <protection hidden="1"/>
    </xf>
    <xf numFmtId="167" fontId="9" fillId="7" borderId="9" xfId="0" applyNumberFormat="1" applyFont="1" applyFill="1" applyBorder="1" applyProtection="1">
      <protection hidden="1"/>
    </xf>
    <xf numFmtId="0" fontId="4" fillId="8" borderId="16" xfId="0" applyFont="1" applyFill="1" applyBorder="1" applyProtection="1">
      <protection hidden="1"/>
    </xf>
    <xf numFmtId="0" fontId="4" fillId="8" borderId="18" xfId="0" applyFont="1" applyFill="1" applyBorder="1" applyProtection="1">
      <protection hidden="1"/>
    </xf>
    <xf numFmtId="169" fontId="5" fillId="7" borderId="1" xfId="2" applyNumberFormat="1" applyFont="1" applyFill="1" applyBorder="1" applyAlignment="1" applyProtection="1">
      <alignment horizontal="center"/>
      <protection hidden="1"/>
    </xf>
    <xf numFmtId="169" fontId="9" fillId="7" borderId="1" xfId="0" applyNumberFormat="1" applyFont="1" applyFill="1" applyBorder="1" applyAlignment="1" applyProtection="1">
      <alignment horizontal="center"/>
      <protection hidden="1"/>
    </xf>
    <xf numFmtId="169" fontId="5" fillId="7" borderId="1" xfId="0" applyNumberFormat="1" applyFont="1" applyFill="1" applyBorder="1" applyAlignment="1" applyProtection="1">
      <alignment horizontal="center"/>
      <protection hidden="1"/>
    </xf>
    <xf numFmtId="169" fontId="9" fillId="0" borderId="0" xfId="0" applyNumberFormat="1" applyFont="1" applyProtection="1">
      <protection hidden="1"/>
    </xf>
    <xf numFmtId="0" fontId="9" fillId="4" borderId="0" xfId="0" applyFont="1" applyFill="1" applyAlignment="1" applyProtection="1">
      <alignment horizontal="center" wrapText="1"/>
      <protection hidden="1"/>
    </xf>
    <xf numFmtId="0" fontId="4" fillId="7" borderId="0" xfId="0" applyFont="1" applyFill="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5" fillId="5" borderId="1" xfId="0" applyFont="1" applyFill="1" applyBorder="1" applyAlignment="1" applyProtection="1">
      <alignment horizontal="center"/>
      <protection locked="0"/>
    </xf>
    <xf numFmtId="10" fontId="4" fillId="5" borderId="1" xfId="0" applyNumberFormat="1" applyFont="1" applyFill="1" applyBorder="1" applyAlignment="1" applyProtection="1">
      <alignment horizontal="right"/>
      <protection locked="0"/>
    </xf>
    <xf numFmtId="0" fontId="33" fillId="4" borderId="0" xfId="0" applyFont="1" applyFill="1" applyAlignment="1" applyProtection="1">
      <alignment horizontal="right"/>
      <protection hidden="1"/>
    </xf>
    <xf numFmtId="0" fontId="5" fillId="0" borderId="11" xfId="0" applyFont="1" applyBorder="1" applyAlignment="1" applyProtection="1">
      <alignment horizontal="right"/>
      <protection hidden="1"/>
    </xf>
    <xf numFmtId="0" fontId="5" fillId="0" borderId="12" xfId="0" applyFont="1" applyBorder="1" applyAlignment="1" applyProtection="1">
      <alignment horizontal="right"/>
      <protection hidden="1"/>
    </xf>
    <xf numFmtId="0" fontId="4" fillId="0" borderId="12" xfId="0" applyFont="1" applyBorder="1" applyProtection="1">
      <protection hidden="1"/>
    </xf>
    <xf numFmtId="0" fontId="4" fillId="0" borderId="13" xfId="0" applyFont="1" applyBorder="1" applyProtection="1">
      <protection hidden="1"/>
    </xf>
    <xf numFmtId="0" fontId="5" fillId="4" borderId="14" xfId="0" applyFont="1" applyFill="1" applyBorder="1" applyAlignment="1" applyProtection="1">
      <alignment horizontal="right"/>
      <protection hidden="1"/>
    </xf>
    <xf numFmtId="0" fontId="4" fillId="0" borderId="15" xfId="0" applyFont="1" applyBorder="1" applyProtection="1">
      <protection hidden="1"/>
    </xf>
    <xf numFmtId="0" fontId="4" fillId="0" borderId="14" xfId="0" applyFont="1" applyBorder="1" applyProtection="1">
      <protection hidden="1"/>
    </xf>
    <xf numFmtId="0" fontId="35" fillId="0" borderId="0" xfId="0" applyFont="1" applyProtection="1">
      <protection hidden="1"/>
    </xf>
    <xf numFmtId="0" fontId="4" fillId="0" borderId="16" xfId="0" applyFont="1" applyBorder="1" applyProtection="1">
      <protection hidden="1"/>
    </xf>
    <xf numFmtId="0" fontId="4" fillId="0" borderId="17" xfId="0" applyFont="1" applyBorder="1" applyProtection="1">
      <protection hidden="1"/>
    </xf>
    <xf numFmtId="0" fontId="0" fillId="0" borderId="17" xfId="0" applyBorder="1" applyProtection="1">
      <protection hidden="1"/>
    </xf>
    <xf numFmtId="0" fontId="4" fillId="0" borderId="18" xfId="0" applyFont="1" applyBorder="1" applyProtection="1">
      <protection hidden="1"/>
    </xf>
    <xf numFmtId="10" fontId="9" fillId="4" borderId="6" xfId="2" applyNumberFormat="1" applyFont="1" applyFill="1" applyBorder="1" applyAlignment="1" applyProtection="1">
      <alignment horizontal="right"/>
      <protection hidden="1"/>
    </xf>
    <xf numFmtId="164" fontId="35" fillId="0" borderId="19" xfId="0" applyNumberFormat="1" applyFont="1" applyBorder="1" applyAlignment="1" applyProtection="1">
      <alignment horizontal="center" vertical="center"/>
      <protection hidden="1"/>
    </xf>
    <xf numFmtId="0" fontId="35" fillId="0" borderId="0" xfId="0" applyFont="1" applyAlignment="1" applyProtection="1">
      <alignment horizontal="center"/>
      <protection hidden="1"/>
    </xf>
    <xf numFmtId="0" fontId="9" fillId="7" borderId="5" xfId="0" applyFont="1" applyFill="1" applyBorder="1" applyAlignment="1" applyProtection="1">
      <alignment horizontal="center"/>
      <protection hidden="1"/>
    </xf>
    <xf numFmtId="164" fontId="4" fillId="4" borderId="0" xfId="0" applyNumberFormat="1" applyFont="1" applyFill="1"/>
    <xf numFmtId="2" fontId="5" fillId="4" borderId="0" xfId="0" applyNumberFormat="1" applyFont="1" applyFill="1" applyAlignment="1">
      <alignment horizontal="center"/>
    </xf>
    <xf numFmtId="167" fontId="4" fillId="4" borderId="0" xfId="0" applyNumberFormat="1" applyFont="1" applyFill="1" applyProtection="1">
      <protection locked="0"/>
    </xf>
    <xf numFmtId="10" fontId="4" fillId="4" borderId="0" xfId="2" applyNumberFormat="1" applyFont="1" applyFill="1" applyBorder="1" applyAlignment="1" applyProtection="1">
      <alignment horizontal="center"/>
      <protection locked="0"/>
    </xf>
    <xf numFmtId="0" fontId="34" fillId="0" borderId="0" xfId="0" applyFont="1" applyAlignment="1" applyProtection="1">
      <alignment horizontal="right" vertical="top"/>
      <protection hidden="1"/>
    </xf>
    <xf numFmtId="0" fontId="9" fillId="0" borderId="0" xfId="0" applyFont="1" applyAlignment="1" applyProtection="1">
      <alignment horizontal="left"/>
      <protection hidden="1"/>
    </xf>
    <xf numFmtId="164" fontId="5" fillId="0" borderId="2" xfId="0" applyNumberFormat="1" applyFont="1" applyBorder="1" applyProtection="1">
      <protection hidden="1"/>
    </xf>
    <xf numFmtId="164" fontId="32" fillId="0" borderId="0" xfId="0" applyNumberFormat="1" applyFont="1"/>
    <xf numFmtId="0" fontId="36" fillId="5" borderId="0" xfId="0" applyFont="1" applyFill="1" applyAlignment="1" applyProtection="1">
      <alignment horizontal="left"/>
      <protection hidden="1"/>
    </xf>
    <xf numFmtId="0" fontId="37" fillId="5" borderId="0" xfId="0" applyFont="1" applyFill="1" applyProtection="1">
      <protection hidden="1"/>
    </xf>
    <xf numFmtId="0" fontId="37" fillId="5" borderId="15" xfId="0" applyFont="1" applyFill="1" applyBorder="1" applyProtection="1">
      <protection hidden="1"/>
    </xf>
    <xf numFmtId="7" fontId="9" fillId="8" borderId="0" xfId="0" applyNumberFormat="1" applyFont="1" applyFill="1" applyProtection="1">
      <protection hidden="1"/>
    </xf>
    <xf numFmtId="170" fontId="5" fillId="6" borderId="1" xfId="0" applyNumberFormat="1" applyFont="1" applyFill="1" applyBorder="1" applyAlignment="1" applyProtection="1">
      <alignment horizontal="center"/>
      <protection hidden="1"/>
    </xf>
    <xf numFmtId="171" fontId="5" fillId="7" borderId="1" xfId="0" applyNumberFormat="1" applyFont="1" applyFill="1" applyBorder="1" applyAlignment="1" applyProtection="1">
      <alignment horizontal="center"/>
      <protection hidden="1"/>
    </xf>
    <xf numFmtId="10" fontId="4" fillId="5" borderId="1" xfId="2" applyNumberFormat="1" applyFont="1" applyFill="1" applyBorder="1" applyProtection="1">
      <protection locked="0"/>
    </xf>
    <xf numFmtId="10" fontId="4" fillId="7" borderId="1" xfId="0" applyNumberFormat="1" applyFont="1" applyFill="1" applyBorder="1" applyAlignment="1">
      <alignment horizontal="right"/>
    </xf>
    <xf numFmtId="0" fontId="4" fillId="0" borderId="0" xfId="3" applyFont="1"/>
    <xf numFmtId="0" fontId="4" fillId="4" borderId="0" xfId="3" applyFont="1" applyFill="1" applyProtection="1">
      <protection hidden="1"/>
    </xf>
    <xf numFmtId="0" fontId="5" fillId="4" borderId="0" xfId="3" applyFont="1" applyFill="1" applyAlignment="1" applyProtection="1">
      <alignment horizontal="center"/>
      <protection hidden="1"/>
    </xf>
    <xf numFmtId="0" fontId="4" fillId="9" borderId="0" xfId="3" applyFont="1" applyFill="1"/>
    <xf numFmtId="0" fontId="4" fillId="3" borderId="11" xfId="3" applyFont="1" applyFill="1" applyBorder="1" applyProtection="1">
      <protection hidden="1"/>
    </xf>
    <xf numFmtId="0" fontId="4" fillId="5" borderId="12" xfId="3" applyFont="1" applyFill="1" applyBorder="1" applyAlignment="1" applyProtection="1">
      <alignment horizontal="center" vertical="center"/>
      <protection hidden="1"/>
    </xf>
    <xf numFmtId="0" fontId="4" fillId="5" borderId="13" xfId="3" applyFont="1" applyFill="1" applyBorder="1" applyProtection="1">
      <protection hidden="1"/>
    </xf>
    <xf numFmtId="0" fontId="4" fillId="7" borderId="14" xfId="3" applyFont="1" applyFill="1" applyBorder="1" applyProtection="1">
      <protection hidden="1"/>
    </xf>
    <xf numFmtId="0" fontId="4" fillId="7" borderId="0" xfId="3" applyFont="1" applyFill="1" applyAlignment="1" applyProtection="1">
      <alignment horizontal="center" vertical="center"/>
      <protection hidden="1"/>
    </xf>
    <xf numFmtId="0" fontId="4" fillId="7" borderId="15" xfId="3" applyFont="1" applyFill="1" applyBorder="1" applyProtection="1">
      <protection hidden="1"/>
    </xf>
    <xf numFmtId="0" fontId="5" fillId="0" borderId="0" xfId="3" applyFont="1" applyAlignment="1" applyProtection="1">
      <alignment horizontal="right"/>
      <protection hidden="1"/>
    </xf>
    <xf numFmtId="0" fontId="4" fillId="8" borderId="16" xfId="3" applyFont="1" applyFill="1" applyBorder="1" applyProtection="1">
      <protection hidden="1"/>
    </xf>
    <xf numFmtId="0" fontId="4" fillId="8" borderId="17" xfId="3" applyFont="1" applyFill="1" applyBorder="1" applyAlignment="1" applyProtection="1">
      <alignment horizontal="center" vertical="center"/>
      <protection hidden="1"/>
    </xf>
    <xf numFmtId="0" fontId="4" fillId="8" borderId="18" xfId="3" applyFont="1" applyFill="1" applyBorder="1" applyProtection="1">
      <protection hidden="1"/>
    </xf>
    <xf numFmtId="0" fontId="5" fillId="0" borderId="0" xfId="3" applyFont="1" applyAlignment="1" applyProtection="1">
      <alignment horizontal="center"/>
      <protection hidden="1"/>
    </xf>
    <xf numFmtId="10" fontId="9" fillId="7" borderId="1" xfId="3" applyNumberFormat="1" applyFont="1" applyFill="1" applyBorder="1" applyAlignment="1" applyProtection="1">
      <alignment horizontal="right"/>
      <protection hidden="1"/>
    </xf>
    <xf numFmtId="0" fontId="5" fillId="0" borderId="0" xfId="3" applyFont="1" applyAlignment="1" applyProtection="1">
      <alignment horizontal="right" vertical="center"/>
      <protection hidden="1"/>
    </xf>
    <xf numFmtId="167" fontId="9" fillId="5" borderId="1" xfId="3" applyNumberFormat="1" applyFont="1" applyFill="1" applyBorder="1" applyProtection="1">
      <protection locked="0"/>
    </xf>
    <xf numFmtId="0" fontId="4" fillId="9" borderId="0" xfId="3" applyFont="1" applyFill="1" applyProtection="1">
      <protection hidden="1"/>
    </xf>
    <xf numFmtId="0" fontId="40" fillId="9" borderId="0" xfId="3" applyFont="1" applyFill="1"/>
    <xf numFmtId="167" fontId="9" fillId="7" borderId="1" xfId="3" applyNumberFormat="1" applyFont="1" applyFill="1" applyBorder="1" applyProtection="1">
      <protection hidden="1"/>
    </xf>
    <xf numFmtId="0" fontId="4" fillId="0" borderId="0" xfId="3" applyFont="1" applyAlignment="1" applyProtection="1">
      <alignment horizontal="right"/>
      <protection hidden="1"/>
    </xf>
    <xf numFmtId="0" fontId="9" fillId="0" borderId="0" xfId="3" applyFont="1" applyProtection="1">
      <protection hidden="1"/>
    </xf>
    <xf numFmtId="0" fontId="4" fillId="0" borderId="0" xfId="3" applyFont="1" applyProtection="1">
      <protection hidden="1"/>
    </xf>
    <xf numFmtId="0" fontId="7" fillId="0" borderId="0" xfId="3" applyFont="1" applyProtection="1">
      <protection hidden="1"/>
    </xf>
    <xf numFmtId="9" fontId="40" fillId="9" borderId="0" xfId="2" applyFont="1" applyFill="1"/>
    <xf numFmtId="173" fontId="4" fillId="7" borderId="1" xfId="2" applyNumberFormat="1" applyFont="1" applyFill="1" applyBorder="1" applyProtection="1">
      <protection hidden="1"/>
    </xf>
    <xf numFmtId="169" fontId="4" fillId="7" borderId="1" xfId="3" applyNumberFormat="1" applyFont="1" applyFill="1" applyBorder="1" applyProtection="1">
      <protection hidden="1"/>
    </xf>
    <xf numFmtId="172" fontId="9" fillId="7" borderId="1" xfId="3" applyNumberFormat="1" applyFont="1" applyFill="1" applyBorder="1" applyProtection="1">
      <protection hidden="1"/>
    </xf>
    <xf numFmtId="172" fontId="4" fillId="0" borderId="0" xfId="3" applyNumberFormat="1" applyFont="1"/>
    <xf numFmtId="164" fontId="9" fillId="7" borderId="1" xfId="3" applyNumberFormat="1" applyFont="1" applyFill="1" applyBorder="1" applyProtection="1">
      <protection hidden="1"/>
    </xf>
    <xf numFmtId="0" fontId="4" fillId="9" borderId="0" xfId="3" applyFont="1" applyFill="1" applyAlignment="1">
      <alignment wrapText="1"/>
    </xf>
    <xf numFmtId="0" fontId="7" fillId="4" borderId="0" xfId="3" applyFont="1" applyFill="1" applyProtection="1">
      <protection hidden="1"/>
    </xf>
    <xf numFmtId="0" fontId="7" fillId="0" borderId="0" xfId="3" applyFont="1" applyAlignment="1" applyProtection="1">
      <alignment vertical="top" wrapText="1"/>
      <protection hidden="1"/>
    </xf>
    <xf numFmtId="10" fontId="9" fillId="5" borderId="1" xfId="2" applyNumberFormat="1" applyFont="1" applyFill="1" applyBorder="1" applyProtection="1">
      <protection locked="0"/>
    </xf>
    <xf numFmtId="2" fontId="4" fillId="0" borderId="0" xfId="3" applyNumberFormat="1" applyFont="1" applyProtection="1">
      <protection hidden="1"/>
    </xf>
    <xf numFmtId="164" fontId="4" fillId="0" borderId="0" xfId="3" applyNumberFormat="1" applyFont="1" applyProtection="1">
      <protection hidden="1"/>
    </xf>
    <xf numFmtId="167" fontId="9" fillId="8" borderId="1" xfId="3" applyNumberFormat="1" applyFont="1" applyFill="1" applyBorder="1" applyProtection="1">
      <protection locked="0"/>
    </xf>
    <xf numFmtId="0" fontId="41" fillId="0" borderId="0" xfId="3" applyFont="1" applyAlignment="1" applyProtection="1">
      <alignment vertical="top"/>
      <protection hidden="1"/>
    </xf>
    <xf numFmtId="0" fontId="41" fillId="0" borderId="0" xfId="3" applyFont="1" applyAlignment="1">
      <alignment vertical="top"/>
    </xf>
    <xf numFmtId="0" fontId="41" fillId="0" borderId="0" xfId="3" applyFont="1" applyAlignment="1" applyProtection="1">
      <alignment vertical="top" wrapText="1"/>
      <protection hidden="1"/>
    </xf>
    <xf numFmtId="0" fontId="41" fillId="0" borderId="0" xfId="3" applyFont="1" applyAlignment="1">
      <alignment vertical="top" wrapText="1"/>
    </xf>
    <xf numFmtId="43" fontId="4" fillId="5" borderId="1" xfId="1" applyFont="1" applyFill="1" applyBorder="1" applyAlignment="1" applyProtection="1">
      <alignment horizontal="center"/>
      <protection locked="0"/>
    </xf>
    <xf numFmtId="0" fontId="4" fillId="0" borderId="0" xfId="0" applyFont="1"/>
    <xf numFmtId="0" fontId="4" fillId="9" borderId="0" xfId="0" applyFont="1" applyFill="1"/>
    <xf numFmtId="10" fontId="9" fillId="7" borderId="1" xfId="0" applyNumberFormat="1" applyFont="1" applyFill="1" applyBorder="1" applyAlignment="1" applyProtection="1">
      <alignment horizontal="right"/>
      <protection hidden="1"/>
    </xf>
    <xf numFmtId="167" fontId="9" fillId="5" borderId="1" xfId="0" applyNumberFormat="1" applyFont="1" applyFill="1" applyBorder="1" applyProtection="1">
      <protection locked="0"/>
    </xf>
    <xf numFmtId="0" fontId="4" fillId="9" borderId="0" xfId="0" applyFont="1" applyFill="1" applyProtection="1">
      <protection hidden="1"/>
    </xf>
    <xf numFmtId="167" fontId="9" fillId="7" borderId="1" xfId="0" applyNumberFormat="1" applyFont="1" applyFill="1" applyBorder="1" applyProtection="1">
      <protection hidden="1"/>
    </xf>
    <xf numFmtId="0" fontId="9" fillId="0" borderId="0" xfId="0" applyFont="1" applyProtection="1">
      <protection hidden="1"/>
    </xf>
    <xf numFmtId="169" fontId="4" fillId="7" borderId="1" xfId="0" applyNumberFormat="1" applyFont="1" applyFill="1" applyBorder="1" applyProtection="1">
      <protection hidden="1"/>
    </xf>
    <xf numFmtId="172" fontId="9" fillId="7" borderId="1" xfId="0" applyNumberFormat="1" applyFont="1" applyFill="1" applyBorder="1" applyProtection="1">
      <protection hidden="1"/>
    </xf>
    <xf numFmtId="172" fontId="4" fillId="0" borderId="0" xfId="0" applyNumberFormat="1" applyFont="1"/>
    <xf numFmtId="164" fontId="9" fillId="7" borderId="1" xfId="0" applyNumberFormat="1" applyFont="1" applyFill="1" applyBorder="1" applyProtection="1">
      <protection hidden="1"/>
    </xf>
    <xf numFmtId="0" fontId="4" fillId="9" borderId="0" xfId="0" applyFont="1" applyFill="1" applyAlignment="1">
      <alignment wrapText="1"/>
    </xf>
    <xf numFmtId="0" fontId="7" fillId="0" borderId="0" xfId="0" applyFont="1" applyAlignment="1" applyProtection="1">
      <alignment vertical="top" wrapText="1"/>
      <protection hidden="1"/>
    </xf>
    <xf numFmtId="2" fontId="4" fillId="0" borderId="0" xfId="0" applyNumberFormat="1" applyFont="1" applyProtection="1">
      <protection hidden="1"/>
    </xf>
    <xf numFmtId="0" fontId="41" fillId="0" borderId="0" xfId="3" applyFont="1" applyAlignment="1" applyProtection="1">
      <alignment wrapText="1"/>
      <protection hidden="1"/>
    </xf>
    <xf numFmtId="164" fontId="5" fillId="0" borderId="7" xfId="0" applyNumberFormat="1" applyFont="1" applyBorder="1" applyProtection="1">
      <protection hidden="1"/>
    </xf>
    <xf numFmtId="164" fontId="5" fillId="0" borderId="6" xfId="0" applyNumberFormat="1" applyFont="1" applyBorder="1" applyProtection="1">
      <protection hidden="1"/>
    </xf>
    <xf numFmtId="0" fontId="41" fillId="0" borderId="0" xfId="3" applyFont="1" applyProtection="1">
      <protection hidden="1"/>
    </xf>
    <xf numFmtId="174" fontId="4" fillId="0" borderId="0" xfId="3" applyNumberFormat="1" applyFont="1"/>
    <xf numFmtId="166" fontId="9" fillId="0" borderId="0" xfId="0" applyNumberFormat="1" applyFont="1" applyAlignment="1" applyProtection="1">
      <alignment horizontal="center"/>
      <protection hidden="1"/>
    </xf>
    <xf numFmtId="175" fontId="9" fillId="7" borderId="1" xfId="0" applyNumberFormat="1" applyFont="1" applyFill="1" applyBorder="1" applyProtection="1">
      <protection hidden="1"/>
    </xf>
    <xf numFmtId="0" fontId="43" fillId="0" borderId="0" xfId="4" applyAlignment="1" applyProtection="1">
      <alignment horizontal="left"/>
      <protection hidden="1"/>
    </xf>
    <xf numFmtId="0" fontId="4" fillId="0" borderId="0" xfId="0" applyFont="1" applyAlignment="1" applyProtection="1">
      <alignment horizontal="left"/>
      <protection hidden="1"/>
    </xf>
    <xf numFmtId="0" fontId="6" fillId="0" borderId="0" xfId="0" applyFont="1" applyAlignment="1" applyProtection="1">
      <alignment horizontal="center"/>
      <protection hidden="1"/>
    </xf>
    <xf numFmtId="0" fontId="4" fillId="3" borderId="14" xfId="0" applyFont="1" applyFill="1" applyBorder="1" applyProtection="1">
      <protection hidden="1"/>
    </xf>
    <xf numFmtId="0" fontId="4" fillId="5" borderId="0" xfId="0" applyFont="1" applyFill="1" applyAlignment="1" applyProtection="1">
      <alignment horizontal="center" vertical="center"/>
      <protection hidden="1"/>
    </xf>
    <xf numFmtId="0" fontId="4" fillId="5" borderId="15" xfId="0" applyFont="1" applyFill="1" applyBorder="1" applyProtection="1">
      <protection hidden="1"/>
    </xf>
    <xf numFmtId="176" fontId="4" fillId="5" borderId="1" xfId="0" applyNumberFormat="1" applyFont="1" applyFill="1" applyBorder="1" applyAlignment="1" applyProtection="1">
      <alignment horizontal="right"/>
      <protection locked="0"/>
    </xf>
    <xf numFmtId="0" fontId="4" fillId="7" borderId="1" xfId="0" applyFont="1" applyFill="1" applyBorder="1" applyAlignment="1" applyProtection="1">
      <alignment horizontal="center"/>
      <protection hidden="1"/>
    </xf>
    <xf numFmtId="170" fontId="5" fillId="7" borderId="1" xfId="0" applyNumberFormat="1" applyFont="1" applyFill="1" applyBorder="1" applyAlignment="1" applyProtection="1">
      <alignment horizontal="center"/>
      <protection hidden="1"/>
    </xf>
    <xf numFmtId="164" fontId="4" fillId="2" borderId="1" xfId="0" applyNumberFormat="1" applyFont="1" applyFill="1" applyBorder="1" applyAlignment="1" applyProtection="1">
      <alignment horizontal="right"/>
      <protection hidden="1"/>
    </xf>
    <xf numFmtId="164" fontId="5" fillId="7" borderId="4" xfId="0" applyNumberFormat="1" applyFont="1" applyFill="1" applyBorder="1" applyProtection="1">
      <protection hidden="1"/>
    </xf>
    <xf numFmtId="10" fontId="4" fillId="7" borderId="5" xfId="2" applyNumberFormat="1" applyFont="1" applyFill="1" applyBorder="1" applyAlignment="1" applyProtection="1">
      <alignment horizontal="center"/>
      <protection hidden="1"/>
    </xf>
    <xf numFmtId="0" fontId="5" fillId="0" borderId="0" xfId="3" applyFont="1" applyAlignment="1" applyProtection="1">
      <alignment vertical="center"/>
      <protection hidden="1"/>
    </xf>
    <xf numFmtId="0" fontId="44" fillId="0" borderId="0" xfId="0" applyFont="1"/>
    <xf numFmtId="0" fontId="44" fillId="0" borderId="0" xfId="3" applyFont="1" applyProtection="1">
      <protection hidden="1"/>
    </xf>
    <xf numFmtId="0" fontId="44" fillId="0" borderId="0" xfId="3" applyFont="1" applyAlignment="1" applyProtection="1">
      <alignment horizontal="left" vertical="center"/>
      <protection hidden="1"/>
    </xf>
    <xf numFmtId="0" fontId="44" fillId="0" borderId="0" xfId="3" applyFont="1" applyAlignment="1" applyProtection="1">
      <alignment horizontal="center" vertical="center"/>
      <protection hidden="1"/>
    </xf>
    <xf numFmtId="0" fontId="45" fillId="0" borderId="0" xfId="3" applyFont="1" applyProtection="1">
      <protection hidden="1"/>
    </xf>
    <xf numFmtId="0" fontId="44" fillId="6" borderId="0" xfId="3" applyFont="1" applyFill="1" applyProtection="1">
      <protection hidden="1"/>
    </xf>
    <xf numFmtId="0" fontId="4" fillId="0" borderId="0" xfId="3" quotePrefix="1" applyFont="1" applyAlignment="1" applyProtection="1">
      <alignment horizontal="center"/>
      <protection hidden="1"/>
    </xf>
    <xf numFmtId="0" fontId="4" fillId="0" borderId="0" xfId="3" applyFont="1" applyAlignment="1" applyProtection="1">
      <alignment horizontal="center"/>
      <protection hidden="1"/>
    </xf>
    <xf numFmtId="0" fontId="44" fillId="0" borderId="0" xfId="0" applyFont="1" applyProtection="1">
      <protection hidden="1"/>
    </xf>
    <xf numFmtId="0" fontId="44" fillId="6" borderId="0" xfId="0" applyFont="1" applyFill="1" applyProtection="1">
      <protection hidden="1"/>
    </xf>
    <xf numFmtId="0" fontId="5" fillId="6" borderId="0" xfId="0" applyFont="1" applyFill="1" applyAlignment="1" applyProtection="1">
      <alignment horizontal="center" vertical="center"/>
      <protection hidden="1"/>
    </xf>
    <xf numFmtId="0" fontId="44" fillId="6" borderId="0" xfId="0" applyFont="1" applyFill="1" applyAlignment="1" applyProtection="1">
      <alignment horizontal="left" vertical="center" indent="6"/>
      <protection hidden="1"/>
    </xf>
    <xf numFmtId="0" fontId="46" fillId="6" borderId="0" xfId="4" applyFont="1" applyFill="1" applyAlignment="1" applyProtection="1">
      <alignment horizontal="left" vertical="center" indent="6"/>
      <protection hidden="1"/>
    </xf>
    <xf numFmtId="0" fontId="4" fillId="0" borderId="0" xfId="0" quotePrefix="1" applyFont="1" applyAlignment="1" applyProtection="1">
      <alignment horizontal="center"/>
      <protection hidden="1"/>
    </xf>
    <xf numFmtId="177" fontId="4" fillId="0" borderId="0" xfId="0" applyNumberFormat="1" applyFont="1" applyProtection="1">
      <protection hidden="1"/>
    </xf>
    <xf numFmtId="0" fontId="4" fillId="6" borderId="0" xfId="0" applyFont="1" applyFill="1" applyProtection="1">
      <protection hidden="1"/>
    </xf>
    <xf numFmtId="178" fontId="4" fillId="0" borderId="0" xfId="0" applyNumberFormat="1" applyFont="1" applyAlignment="1" applyProtection="1">
      <alignment horizontal="left"/>
      <protection hidden="1"/>
    </xf>
    <xf numFmtId="0" fontId="44" fillId="4" borderId="0" xfId="0" applyFont="1" applyFill="1" applyProtection="1">
      <protection hidden="1"/>
    </xf>
    <xf numFmtId="0" fontId="44" fillId="4" borderId="0" xfId="3" applyFont="1" applyFill="1" applyProtection="1">
      <protection hidden="1"/>
    </xf>
    <xf numFmtId="0" fontId="44" fillId="4" borderId="0" xfId="0" applyFont="1" applyFill="1"/>
    <xf numFmtId="0" fontId="48" fillId="0" borderId="0" xfId="3" applyFont="1" applyProtection="1">
      <protection hidden="1"/>
    </xf>
    <xf numFmtId="179" fontId="4" fillId="0" borderId="0" xfId="3" applyNumberFormat="1" applyFont="1" applyProtection="1">
      <protection hidden="1"/>
    </xf>
    <xf numFmtId="0" fontId="49" fillId="0" borderId="0" xfId="3" applyFont="1" applyProtection="1">
      <protection hidden="1"/>
    </xf>
    <xf numFmtId="0" fontId="50" fillId="0" borderId="0" xfId="3" applyFont="1" applyProtection="1">
      <protection hidden="1"/>
    </xf>
    <xf numFmtId="0" fontId="50" fillId="5" borderId="1" xfId="0" applyFont="1" applyFill="1" applyBorder="1" applyAlignment="1" applyProtection="1">
      <alignment horizontal="center"/>
      <protection locked="0"/>
    </xf>
    <xf numFmtId="180" fontId="50" fillId="0" borderId="0" xfId="3" applyNumberFormat="1" applyFont="1" applyProtection="1">
      <protection locked="0"/>
    </xf>
    <xf numFmtId="0" fontId="50" fillId="0" borderId="0" xfId="0" applyFont="1" applyAlignment="1">
      <alignment vertical="center"/>
    </xf>
    <xf numFmtId="164" fontId="5" fillId="10" borderId="1" xfId="0" applyNumberFormat="1" applyFont="1" applyFill="1" applyBorder="1" applyProtection="1">
      <protection hidden="1"/>
    </xf>
    <xf numFmtId="43" fontId="4" fillId="10" borderId="1" xfId="1" applyFont="1" applyFill="1" applyBorder="1" applyAlignment="1" applyProtection="1">
      <alignment horizontal="center"/>
      <protection hidden="1"/>
    </xf>
    <xf numFmtId="0" fontId="37" fillId="9" borderId="0" xfId="3" applyFont="1" applyFill="1"/>
    <xf numFmtId="0" fontId="40" fillId="9" borderId="0" xfId="0" applyFont="1" applyFill="1"/>
    <xf numFmtId="169" fontId="5" fillId="5" borderId="1" xfId="0" applyNumberFormat="1" applyFont="1" applyFill="1" applyBorder="1" applyAlignment="1" applyProtection="1">
      <alignment horizontal="center"/>
      <protection locked="0"/>
    </xf>
    <xf numFmtId="14" fontId="50" fillId="5" borderId="1" xfId="0" applyNumberFormat="1" applyFont="1" applyFill="1" applyBorder="1" applyAlignment="1" applyProtection="1">
      <alignment horizontal="center"/>
      <protection locked="0"/>
    </xf>
    <xf numFmtId="0" fontId="50" fillId="5" borderId="1" xfId="0" quotePrefix="1" applyFont="1" applyFill="1" applyBorder="1" applyAlignment="1" applyProtection="1">
      <alignment horizontal="center"/>
      <protection locked="0"/>
    </xf>
    <xf numFmtId="0" fontId="9" fillId="8" borderId="11" xfId="0" applyFont="1" applyFill="1" applyBorder="1" applyAlignment="1" applyProtection="1">
      <alignment horizontal="center" vertical="center" wrapText="1"/>
      <protection hidden="1"/>
    </xf>
    <xf numFmtId="0" fontId="4" fillId="8" borderId="12" xfId="0" applyFont="1" applyFill="1" applyBorder="1" applyAlignment="1" applyProtection="1">
      <alignment horizontal="center" vertical="center" wrapText="1"/>
      <protection hidden="1"/>
    </xf>
    <xf numFmtId="0" fontId="4" fillId="8" borderId="13" xfId="0" applyFont="1" applyFill="1" applyBorder="1" applyAlignment="1" applyProtection="1">
      <alignment horizontal="center" vertical="center" wrapText="1"/>
      <protection hidden="1"/>
    </xf>
    <xf numFmtId="0" fontId="4" fillId="8" borderId="14" xfId="0" applyFont="1" applyFill="1" applyBorder="1" applyAlignment="1" applyProtection="1">
      <alignment horizontal="center" vertical="center" wrapText="1"/>
      <protection hidden="1"/>
    </xf>
    <xf numFmtId="0" fontId="4" fillId="8" borderId="0" xfId="0" applyFont="1" applyFill="1" applyAlignment="1" applyProtection="1">
      <alignment horizontal="center" vertical="center" wrapText="1"/>
      <protection hidden="1"/>
    </xf>
    <xf numFmtId="0" fontId="4" fillId="8" borderId="15" xfId="0" applyFont="1" applyFill="1" applyBorder="1" applyAlignment="1" applyProtection="1">
      <alignment horizontal="center" vertical="center" wrapText="1"/>
      <protection hidden="1"/>
    </xf>
    <xf numFmtId="0" fontId="4" fillId="8" borderId="16" xfId="0" applyFont="1" applyFill="1" applyBorder="1" applyAlignment="1" applyProtection="1">
      <alignment horizontal="center" vertical="center" wrapText="1"/>
      <protection hidden="1"/>
    </xf>
    <xf numFmtId="0" fontId="4" fillId="8" borderId="17" xfId="0" applyFont="1" applyFill="1" applyBorder="1" applyAlignment="1" applyProtection="1">
      <alignment horizontal="center" vertical="center" wrapText="1"/>
      <protection hidden="1"/>
    </xf>
    <xf numFmtId="0" fontId="4" fillId="8" borderId="18" xfId="0" applyFont="1" applyFill="1" applyBorder="1" applyAlignment="1" applyProtection="1">
      <alignment horizontal="center" vertical="center" wrapText="1"/>
      <protection hidden="1"/>
    </xf>
    <xf numFmtId="0" fontId="9" fillId="8" borderId="14" xfId="0" applyFont="1" applyFill="1" applyBorder="1" applyAlignment="1" applyProtection="1">
      <alignment horizontal="center" vertical="center" wrapText="1"/>
      <protection hidden="1"/>
    </xf>
    <xf numFmtId="0" fontId="9" fillId="8" borderId="15" xfId="0" applyFont="1" applyFill="1" applyBorder="1" applyAlignment="1" applyProtection="1">
      <alignment horizontal="center" vertical="center" wrapText="1"/>
      <protection hidden="1"/>
    </xf>
    <xf numFmtId="0" fontId="9" fillId="8" borderId="16" xfId="0" applyFont="1" applyFill="1" applyBorder="1" applyAlignment="1" applyProtection="1">
      <alignment horizontal="center" vertical="center" wrapText="1"/>
      <protection hidden="1"/>
    </xf>
    <xf numFmtId="0" fontId="9" fillId="8" borderId="18" xfId="0" applyFont="1" applyFill="1" applyBorder="1" applyAlignment="1" applyProtection="1">
      <alignment horizontal="center" vertical="center" wrapText="1"/>
      <protection hidden="1"/>
    </xf>
    <xf numFmtId="0" fontId="33" fillId="0" borderId="0" xfId="0" applyFont="1" applyAlignment="1">
      <alignment horizontal="center"/>
    </xf>
    <xf numFmtId="0" fontId="47" fillId="4" borderId="0" xfId="0" applyFont="1" applyFill="1" applyAlignment="1" applyProtection="1">
      <alignment horizontal="center"/>
      <protection hidden="1"/>
    </xf>
    <xf numFmtId="0" fontId="33" fillId="4" borderId="0" xfId="0" applyFont="1" applyFill="1" applyAlignment="1" applyProtection="1">
      <alignment horizontal="center"/>
      <protection hidden="1"/>
    </xf>
    <xf numFmtId="0" fontId="38" fillId="8" borderId="11" xfId="0" applyFont="1" applyFill="1" applyBorder="1" applyAlignment="1" applyProtection="1">
      <alignment horizontal="center" vertical="center" wrapText="1"/>
      <protection hidden="1"/>
    </xf>
    <xf numFmtId="0" fontId="38" fillId="8" borderId="12" xfId="0" applyFont="1" applyFill="1" applyBorder="1" applyAlignment="1" applyProtection="1">
      <alignment horizontal="center" vertical="center" wrapText="1"/>
      <protection hidden="1"/>
    </xf>
    <xf numFmtId="0" fontId="38" fillId="8" borderId="13" xfId="0" applyFont="1" applyFill="1" applyBorder="1" applyAlignment="1" applyProtection="1">
      <alignment horizontal="center" vertical="center" wrapText="1"/>
      <protection hidden="1"/>
    </xf>
    <xf numFmtId="0" fontId="38" fillId="8" borderId="14" xfId="0" applyFont="1" applyFill="1" applyBorder="1" applyAlignment="1" applyProtection="1">
      <alignment horizontal="center" vertical="center" wrapText="1"/>
      <protection hidden="1"/>
    </xf>
    <xf numFmtId="0" fontId="38" fillId="8" borderId="0" xfId="0" applyFont="1" applyFill="1" applyAlignment="1" applyProtection="1">
      <alignment horizontal="center" vertical="center" wrapText="1"/>
      <protection hidden="1"/>
    </xf>
    <xf numFmtId="0" fontId="38" fillId="8" borderId="15" xfId="0" applyFont="1" applyFill="1" applyBorder="1" applyAlignment="1" applyProtection="1">
      <alignment horizontal="center" vertical="center" wrapText="1"/>
      <protection hidden="1"/>
    </xf>
    <xf numFmtId="0" fontId="38" fillId="8" borderId="16" xfId="0" applyFont="1" applyFill="1" applyBorder="1" applyAlignment="1" applyProtection="1">
      <alignment horizontal="center" vertical="center" wrapText="1"/>
      <protection hidden="1"/>
    </xf>
    <xf numFmtId="0" fontId="38" fillId="8" borderId="17" xfId="0" applyFont="1" applyFill="1" applyBorder="1" applyAlignment="1" applyProtection="1">
      <alignment horizontal="center" vertical="center" wrapText="1"/>
      <protection hidden="1"/>
    </xf>
    <xf numFmtId="0" fontId="38" fillId="8" borderId="18" xfId="0" applyFont="1" applyFill="1" applyBorder="1" applyAlignment="1" applyProtection="1">
      <alignment horizontal="center" vertical="center" wrapText="1"/>
      <protection hidden="1"/>
    </xf>
    <xf numFmtId="0" fontId="4" fillId="5" borderId="11"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4" fillId="5" borderId="13" xfId="0" applyFont="1" applyFill="1" applyBorder="1" applyAlignment="1" applyProtection="1">
      <alignment horizontal="center" vertical="center"/>
      <protection hidden="1"/>
    </xf>
    <xf numFmtId="0" fontId="4" fillId="7" borderId="14" xfId="0" applyFont="1" applyFill="1" applyBorder="1" applyAlignment="1" applyProtection="1">
      <alignment horizontal="center" vertical="center"/>
      <protection hidden="1"/>
    </xf>
    <xf numFmtId="0" fontId="4" fillId="7" borderId="0" xfId="0" applyFont="1" applyFill="1" applyAlignment="1" applyProtection="1">
      <alignment horizontal="center" vertical="center"/>
      <protection hidden="1"/>
    </xf>
    <xf numFmtId="0" fontId="4" fillId="7"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6" fillId="0" borderId="0" xfId="0" applyFont="1" applyAlignment="1" applyProtection="1">
      <alignment horizontal="right"/>
      <protection hidden="1"/>
    </xf>
    <xf numFmtId="0" fontId="10" fillId="0" borderId="0" xfId="0" applyFont="1" applyAlignment="1" applyProtection="1">
      <alignment horizontal="center"/>
      <protection hidden="1"/>
    </xf>
    <xf numFmtId="0" fontId="5" fillId="0" borderId="0" xfId="0" applyFont="1" applyAlignment="1" applyProtection="1">
      <alignment horizontal="center"/>
      <protection hidden="1"/>
    </xf>
    <xf numFmtId="0" fontId="9" fillId="0" borderId="6" xfId="0" applyFont="1" applyBorder="1" applyAlignment="1" applyProtection="1">
      <alignment horizontal="center" wrapText="1"/>
      <protection hidden="1"/>
    </xf>
    <xf numFmtId="0" fontId="9" fillId="0" borderId="7" xfId="0" applyFont="1" applyBorder="1" applyAlignment="1" applyProtection="1">
      <alignment horizontal="center" wrapText="1"/>
      <protection hidden="1"/>
    </xf>
    <xf numFmtId="0" fontId="9" fillId="0" borderId="0" xfId="0" applyFont="1" applyAlignment="1" applyProtection="1">
      <alignment horizontal="center" wrapText="1"/>
      <protection hidden="1"/>
    </xf>
    <xf numFmtId="0" fontId="6" fillId="0" borderId="0" xfId="0" applyFont="1" applyAlignment="1" applyProtection="1">
      <alignment horizontal="right" vertical="center"/>
      <protection hidden="1"/>
    </xf>
    <xf numFmtId="0" fontId="4" fillId="0" borderId="2" xfId="0" applyFont="1" applyBorder="1" applyAlignment="1" applyProtection="1">
      <alignment horizontal="center"/>
      <protection hidden="1"/>
    </xf>
    <xf numFmtId="0" fontId="4" fillId="0" borderId="0" xfId="0" applyFont="1" applyAlignment="1" applyProtection="1">
      <alignment horizontal="center"/>
      <protection hidden="1"/>
    </xf>
    <xf numFmtId="0" fontId="34" fillId="8" borderId="12" xfId="0" applyFont="1" applyFill="1" applyBorder="1" applyAlignment="1" applyProtection="1">
      <alignment horizontal="center"/>
      <protection hidden="1"/>
    </xf>
    <xf numFmtId="0" fontId="5" fillId="4" borderId="17" xfId="0" applyFont="1" applyFill="1" applyBorder="1" applyAlignment="1" applyProtection="1">
      <alignment horizontal="center"/>
      <protection hidden="1"/>
    </xf>
    <xf numFmtId="0" fontId="35" fillId="0" borderId="17" xfId="0" applyFont="1" applyBorder="1" applyAlignment="1" applyProtection="1">
      <alignment horizontal="center" vertical="center" wrapText="1"/>
      <protection hidden="1"/>
    </xf>
    <xf numFmtId="0" fontId="6" fillId="0" borderId="0" xfId="3" applyFont="1" applyAlignment="1" applyProtection="1">
      <alignment horizontal="right"/>
      <protection hidden="1"/>
    </xf>
    <xf numFmtId="0" fontId="7" fillId="0" borderId="0" xfId="3" applyFont="1" applyAlignment="1" applyProtection="1">
      <alignment horizontal="left" vertical="center" wrapText="1"/>
      <protection hidden="1"/>
    </xf>
    <xf numFmtId="0" fontId="42" fillId="8" borderId="11" xfId="3" applyFont="1" applyFill="1" applyBorder="1" applyAlignment="1" applyProtection="1">
      <alignment horizontal="left" vertical="top" wrapText="1"/>
      <protection hidden="1"/>
    </xf>
    <xf numFmtId="0" fontId="42" fillId="8" borderId="12" xfId="3" applyFont="1" applyFill="1" applyBorder="1" applyAlignment="1" applyProtection="1">
      <alignment horizontal="left" vertical="top" wrapText="1"/>
      <protection hidden="1"/>
    </xf>
    <xf numFmtId="0" fontId="42" fillId="8" borderId="13" xfId="3" applyFont="1" applyFill="1" applyBorder="1" applyAlignment="1" applyProtection="1">
      <alignment horizontal="left" vertical="top" wrapText="1"/>
      <protection hidden="1"/>
    </xf>
    <xf numFmtId="0" fontId="42" fillId="8" borderId="14" xfId="3" applyFont="1" applyFill="1" applyBorder="1" applyAlignment="1" applyProtection="1">
      <alignment horizontal="left" vertical="top" wrapText="1"/>
      <protection hidden="1"/>
    </xf>
    <xf numFmtId="0" fontId="42" fillId="8" borderId="0" xfId="3" applyFont="1" applyFill="1" applyAlignment="1" applyProtection="1">
      <alignment horizontal="left" vertical="top" wrapText="1"/>
      <protection hidden="1"/>
    </xf>
    <xf numFmtId="0" fontId="42" fillId="8" borderId="15" xfId="3" applyFont="1" applyFill="1" applyBorder="1" applyAlignment="1" applyProtection="1">
      <alignment horizontal="left" vertical="top" wrapText="1"/>
      <protection hidden="1"/>
    </xf>
    <xf numFmtId="0" fontId="42" fillId="8" borderId="16" xfId="3" applyFont="1" applyFill="1" applyBorder="1" applyAlignment="1" applyProtection="1">
      <alignment horizontal="left" vertical="top" wrapText="1"/>
      <protection hidden="1"/>
    </xf>
    <xf numFmtId="0" fontId="42" fillId="8" borderId="17" xfId="3" applyFont="1" applyFill="1" applyBorder="1" applyAlignment="1" applyProtection="1">
      <alignment horizontal="left" vertical="top" wrapText="1"/>
      <protection hidden="1"/>
    </xf>
    <xf numFmtId="0" fontId="42" fillId="8" borderId="18" xfId="3" applyFont="1" applyFill="1" applyBorder="1" applyAlignment="1" applyProtection="1">
      <alignment horizontal="left" vertical="top" wrapText="1"/>
      <protection hidden="1"/>
    </xf>
    <xf numFmtId="0" fontId="41" fillId="0" borderId="0" xfId="3" applyFont="1" applyAlignment="1" applyProtection="1">
      <alignment horizontal="left" vertical="top" wrapText="1"/>
      <protection hidden="1"/>
    </xf>
    <xf numFmtId="0" fontId="6" fillId="0" borderId="0" xfId="0" applyFont="1" applyAlignment="1" applyProtection="1">
      <alignment horizontal="center"/>
      <protection hidden="1"/>
    </xf>
    <xf numFmtId="169" fontId="5" fillId="7" borderId="4" xfId="2" applyNumberFormat="1" applyFont="1" applyFill="1" applyBorder="1" applyAlignment="1" applyProtection="1">
      <alignment horizontal="center"/>
      <protection hidden="1"/>
    </xf>
    <xf numFmtId="169" fontId="5" fillId="7" borderId="8" xfId="2" applyNumberFormat="1" applyFont="1" applyFill="1" applyBorder="1" applyAlignment="1" applyProtection="1">
      <alignment horizontal="center"/>
      <protection hidden="1"/>
    </xf>
    <xf numFmtId="167" fontId="5" fillId="7" borderId="4" xfId="0" applyNumberFormat="1" applyFont="1" applyFill="1" applyBorder="1" applyAlignment="1" applyProtection="1">
      <alignment horizontal="center"/>
      <protection hidden="1"/>
    </xf>
    <xf numFmtId="167" fontId="5" fillId="7" borderId="8" xfId="0" applyNumberFormat="1" applyFont="1" applyFill="1" applyBorder="1" applyAlignment="1" applyProtection="1">
      <alignment horizontal="center"/>
      <protection hidden="1"/>
    </xf>
    <xf numFmtId="0" fontId="5" fillId="0" borderId="0" xfId="0" applyFont="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9" fillId="0" borderId="12" xfId="0" applyFont="1" applyBorder="1" applyAlignment="1" applyProtection="1">
      <alignment horizontal="center" wrapText="1"/>
      <protection hidden="1"/>
    </xf>
    <xf numFmtId="0" fontId="7" fillId="0" borderId="0" xfId="0" applyFont="1" applyAlignment="1" applyProtection="1">
      <alignment horizontal="left" vertical="center" wrapText="1"/>
      <protection hidden="1"/>
    </xf>
    <xf numFmtId="0" fontId="42" fillId="8" borderId="11" xfId="0" applyFont="1" applyFill="1" applyBorder="1" applyAlignment="1" applyProtection="1">
      <alignment horizontal="left" vertical="top" wrapText="1"/>
      <protection hidden="1"/>
    </xf>
    <xf numFmtId="0" fontId="42" fillId="8" borderId="12" xfId="0" applyFont="1" applyFill="1" applyBorder="1" applyAlignment="1" applyProtection="1">
      <alignment horizontal="left" vertical="top" wrapText="1"/>
      <protection hidden="1"/>
    </xf>
    <xf numFmtId="0" fontId="42" fillId="8" borderId="13" xfId="0" applyFont="1" applyFill="1" applyBorder="1" applyAlignment="1" applyProtection="1">
      <alignment horizontal="left" vertical="top" wrapText="1"/>
      <protection hidden="1"/>
    </xf>
    <xf numFmtId="0" fontId="42" fillId="8" borderId="14" xfId="0" applyFont="1" applyFill="1" applyBorder="1" applyAlignment="1" applyProtection="1">
      <alignment horizontal="left" vertical="top" wrapText="1"/>
      <protection hidden="1"/>
    </xf>
    <xf numFmtId="0" fontId="42" fillId="8" borderId="0" xfId="0" applyFont="1" applyFill="1" applyAlignment="1" applyProtection="1">
      <alignment horizontal="left" vertical="top" wrapText="1"/>
      <protection hidden="1"/>
    </xf>
    <xf numFmtId="0" fontId="42" fillId="8" borderId="15" xfId="0" applyFont="1" applyFill="1" applyBorder="1" applyAlignment="1" applyProtection="1">
      <alignment horizontal="left" vertical="top" wrapText="1"/>
      <protection hidden="1"/>
    </xf>
    <xf numFmtId="0" fontId="42" fillId="8" borderId="16" xfId="0" applyFont="1" applyFill="1" applyBorder="1" applyAlignment="1" applyProtection="1">
      <alignment horizontal="left" vertical="top" wrapText="1"/>
      <protection hidden="1"/>
    </xf>
    <xf numFmtId="0" fontId="42" fillId="8" borderId="17" xfId="0" applyFont="1" applyFill="1" applyBorder="1" applyAlignment="1" applyProtection="1">
      <alignment horizontal="left" vertical="top" wrapText="1"/>
      <protection hidden="1"/>
    </xf>
    <xf numFmtId="0" fontId="42" fillId="8" borderId="18" xfId="0" applyFont="1" applyFill="1" applyBorder="1" applyAlignment="1" applyProtection="1">
      <alignment horizontal="left" vertical="top" wrapText="1"/>
      <protection hidden="1"/>
    </xf>
    <xf numFmtId="0" fontId="5" fillId="0" borderId="0" xfId="0" applyFont="1" applyAlignment="1" applyProtection="1">
      <alignment horizontal="center" vertical="center"/>
      <protection hidden="1"/>
    </xf>
    <xf numFmtId="178" fontId="4" fillId="0" borderId="0" xfId="0" applyNumberFormat="1" applyFont="1" applyAlignment="1" applyProtection="1">
      <alignment horizontal="left"/>
      <protection hidden="1"/>
    </xf>
  </cellXfs>
  <cellStyles count="5">
    <cellStyle name="Comma" xfId="1" builtinId="3"/>
    <cellStyle name="Hyperlink" xfId="4" builtinId="8"/>
    <cellStyle name="Normal" xfId="0" builtinId="0"/>
    <cellStyle name="Normal 2" xfId="3" xr:uid="{5077888D-43AD-4F0A-A2AF-E30B08C0C322}"/>
    <cellStyle name="Percent" xfId="2" builtinId="5"/>
  </cellStyles>
  <dxfs count="136">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lor theme="0"/>
      </font>
    </dxf>
    <dxf>
      <font>
        <color auto="1"/>
      </font>
      <fill>
        <patternFill>
          <bgColor theme="5" tint="0.59996337778862885"/>
        </patternFill>
      </fill>
    </dxf>
    <dxf>
      <fill>
        <patternFill>
          <bgColor theme="5" tint="0.59996337778862885"/>
        </patternFill>
      </fill>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theme="0"/>
      </font>
      <fill>
        <patternFill>
          <bgColor theme="0"/>
        </patternFill>
      </fill>
    </dxf>
    <dxf>
      <font>
        <color auto="1"/>
      </font>
      <fill>
        <patternFill>
          <bgColor rgb="FFCCFFCC"/>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rgb="FFE6B8B7"/>
        </patternFill>
      </fill>
    </dxf>
    <dxf>
      <fill>
        <patternFill>
          <bgColor theme="4" tint="0.79998168889431442"/>
        </patternFill>
      </fill>
    </dxf>
    <dxf>
      <fill>
        <patternFill>
          <bgColor theme="4" tint="0.79998168889431442"/>
        </patternFill>
      </fill>
    </dxf>
    <dxf>
      <fill>
        <patternFill>
          <bgColor rgb="FFE6B8B7"/>
        </patternFill>
      </fill>
    </dxf>
    <dxf>
      <fill>
        <patternFill>
          <bgColor theme="4" tint="0.79998168889431442"/>
        </patternFill>
      </fill>
    </dxf>
    <dxf>
      <fill>
        <patternFill>
          <bgColor theme="4" tint="0.79998168889431442"/>
        </patternFill>
      </fill>
    </dxf>
    <dxf>
      <font>
        <color theme="0"/>
      </font>
    </dxf>
    <dxf>
      <fill>
        <patternFill>
          <bgColor theme="4" tint="0.79998168889431442"/>
        </patternFill>
      </fill>
    </dxf>
    <dxf>
      <fill>
        <patternFill>
          <bgColor theme="5" tint="0.59996337778862885"/>
        </patternFill>
      </fill>
    </dxf>
    <dxf>
      <font>
        <condense val="0"/>
        <extend val="0"/>
        <color indexed="9"/>
      </font>
      <fill>
        <patternFill>
          <bgColor indexed="9"/>
        </patternFill>
      </fill>
      <border>
        <left/>
        <right/>
        <top/>
        <bottom/>
      </border>
    </dxf>
    <dxf>
      <font>
        <color rgb="FF9C0006"/>
      </font>
      <fill>
        <patternFill>
          <bgColor theme="5" tint="0.59996337778862885"/>
        </patternFill>
      </fill>
    </dxf>
    <dxf>
      <font>
        <color theme="0"/>
      </font>
      <fill>
        <patternFill patternType="none">
          <bgColor auto="1"/>
        </patternFill>
      </fill>
      <border>
        <left/>
        <right/>
        <top style="thin">
          <color auto="1"/>
        </top>
        <bottom style="thin">
          <color auto="1"/>
        </bottom>
        <vertical/>
        <horizontal/>
      </border>
    </dxf>
    <dxf>
      <fill>
        <patternFill>
          <bgColor theme="5" tint="0.59996337778862885"/>
        </patternFill>
      </fill>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lor theme="0"/>
      </font>
    </dxf>
    <dxf>
      <font>
        <color theme="0"/>
      </font>
      <fill>
        <patternFill>
          <bgColor theme="0"/>
        </patternFill>
      </fill>
      <border>
        <left/>
        <right/>
        <top/>
        <bottom/>
        <vertical/>
        <horizontal/>
      </border>
    </dxf>
    <dxf>
      <font>
        <condense val="0"/>
        <extend val="0"/>
        <color indexed="4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theme="4" tint="0.79998168889431442"/>
        </patternFill>
      </fill>
    </dxf>
    <dxf>
      <font>
        <color rgb="FF9C0006"/>
      </font>
      <fill>
        <patternFill>
          <bgColor rgb="FFFFC7CE"/>
        </patternFill>
      </fill>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b/>
        <i val="0"/>
        <condense val="0"/>
        <extend val="0"/>
        <color auto="1"/>
      </font>
      <fill>
        <patternFill>
          <bgColor theme="5" tint="0.59996337778862885"/>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1"/>
        </patternFill>
      </fill>
    </dxf>
    <dxf>
      <fill>
        <patternFill>
          <bgColor theme="1"/>
        </patternFill>
      </fill>
    </dxf>
    <dxf>
      <fill>
        <patternFill>
          <bgColor theme="1"/>
        </patternFill>
      </fill>
    </dxf>
    <dxf>
      <font>
        <color theme="0"/>
      </font>
    </dxf>
    <dxf>
      <font>
        <b/>
        <i val="0"/>
        <condense val="0"/>
        <extend val="0"/>
        <color auto="1"/>
      </font>
      <fill>
        <patternFill>
          <bgColor theme="5" tint="0.59996337778862885"/>
        </patternFill>
      </fill>
    </dxf>
    <dxf>
      <font>
        <color theme="0"/>
      </font>
    </dxf>
    <dxf>
      <font>
        <color theme="0"/>
      </font>
      <fill>
        <patternFill>
          <bgColor theme="0"/>
        </patternFill>
      </fill>
      <border>
        <left/>
        <right/>
        <top/>
        <bottom style="thin">
          <color auto="1"/>
        </bottom>
        <vertical/>
        <horizontal/>
      </border>
    </dxf>
    <dxf>
      <fill>
        <patternFill>
          <bgColor theme="5" tint="0.59996337778862885"/>
        </patternFill>
      </fill>
    </dxf>
    <dxf>
      <font>
        <color theme="0"/>
      </font>
      <fill>
        <patternFill>
          <bgColor theme="0"/>
        </patternFill>
      </fill>
      <border>
        <left/>
        <right/>
        <top/>
        <bottom/>
        <vertical/>
        <horizontal/>
      </border>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ont>
        <condense val="0"/>
        <extend val="0"/>
        <color indexed="9"/>
      </font>
      <fill>
        <patternFill>
          <bgColor indexed="9"/>
        </patternFill>
      </fill>
      <border>
        <left/>
        <right/>
        <top/>
        <bottom/>
      </border>
    </dxf>
    <dxf>
      <font>
        <condense val="0"/>
        <extend val="0"/>
        <color indexed="9"/>
      </font>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dxf>
    <dxf>
      <fill>
        <patternFill patternType="solid">
          <bgColor theme="0"/>
        </patternFill>
      </fill>
      <border>
        <left/>
        <right/>
        <top/>
        <bottom/>
      </border>
    </dxf>
    <dxf>
      <fill>
        <patternFill patternType="solid">
          <bgColor theme="0"/>
        </patternFill>
      </fill>
      <border>
        <left/>
        <right/>
        <top/>
        <bottom/>
      </border>
    </dxf>
    <dxf>
      <fill>
        <patternFill>
          <bgColor theme="0"/>
        </patternFill>
      </fill>
      <border>
        <left/>
        <right/>
        <top/>
        <bottom/>
      </border>
    </dxf>
    <dxf>
      <font>
        <color theme="0"/>
      </font>
      <border>
        <left style="thin">
          <color auto="1"/>
        </left>
        <right/>
        <top/>
        <bottom/>
        <vertical/>
        <horizontal/>
      </border>
    </dxf>
    <dxf>
      <font>
        <color theme="0"/>
      </font>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CE6F1"/>
      <color rgb="FFFFFFFF"/>
      <color rgb="FFCCFFCC"/>
      <color rgb="FFE6B8B7"/>
      <color rgb="FFFFFFCC"/>
      <color rgb="FFFFFF99"/>
      <color rgb="FFFFCC99"/>
      <color rgb="FFFFCC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District to calculate and analyze the available levy and extension amounts and is prepared for informational purposes only. Reasonable efforts and generally accepted methods of calculation have been incorporated into the spreadsheets. However, PMA Securties (PMA) takes no responsibility for the accuracy of the output and it is highly recommended that users verify calculations independently. The data input, projections, and assumptions provided in this form are based on the information provided by the District. PMA will not verify the accuracy of the data provided by the District and is not responsible for any inaccuracies or incompleteness that appears in the data provided in this form.</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107950</xdr:colOff>
          <xdr:row>2</xdr:row>
          <xdr:rowOff>25400</xdr:rowOff>
        </xdr:from>
        <xdr:to>
          <xdr:col>11</xdr:col>
          <xdr:colOff>571500</xdr:colOff>
          <xdr:row>62</xdr:row>
          <xdr:rowOff>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139700</xdr:rowOff>
        </xdr:from>
        <xdr:to>
          <xdr:col>11</xdr:col>
          <xdr:colOff>495300</xdr:colOff>
          <xdr:row>1048575</xdr:row>
          <xdr:rowOff>139700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91440</xdr:colOff>
      <xdr:row>16</xdr:row>
      <xdr:rowOff>112395</xdr:rowOff>
    </xdr:from>
    <xdr:to>
      <xdr:col>3</xdr:col>
      <xdr:colOff>598170</xdr:colOff>
      <xdr:row>18</xdr:row>
      <xdr:rowOff>15240</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4191000" y="3076575"/>
          <a:ext cx="1116330" cy="2990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190500</xdr:colOff>
      <xdr:row>15</xdr:row>
      <xdr:rowOff>186690</xdr:rowOff>
    </xdr:from>
    <xdr:to>
      <xdr:col>3</xdr:col>
      <xdr:colOff>571500</xdr:colOff>
      <xdr:row>16</xdr:row>
      <xdr:rowOff>142875</xdr:rowOff>
    </xdr:to>
    <xdr:cxnSp macro="">
      <xdr:nvCxnSpPr>
        <xdr:cNvPr id="2" name="Straight Arrow Connector 1">
          <a:extLst>
            <a:ext uri="{FF2B5EF4-FFF2-40B4-BE49-F238E27FC236}">
              <a16:creationId xmlns:a16="http://schemas.microsoft.com/office/drawing/2014/main" id="{00000000-0008-0000-0700-000002000000}"/>
            </a:ext>
          </a:extLst>
        </xdr:cNvPr>
        <xdr:cNvCxnSpPr/>
      </xdr:nvCxnSpPr>
      <xdr:spPr>
        <a:xfrm flipH="1">
          <a:off x="4286250" y="2977515"/>
          <a:ext cx="990600" cy="15621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im\Desktop\Work\MISCELLANEOUS\Presentations\Levy%20Workshop\2023\PMA%20Levy%20Worksheet%20School%20Districts%202023.xlsx" TargetMode="External"/><Relationship Id="rId1" Type="http://schemas.openxmlformats.org/officeDocument/2006/relationships/externalLinkPath" Target="/Users/akim/Desktop/Work/MISCELLANEOUS/Presentations/Levy%20Workshop/2023/PMA%20Levy%20Worksheet%20School%20Districts%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structions"/>
      <sheetName val="Input"/>
      <sheetName val="Calculations"/>
      <sheetName val="copyright_disclaimer"/>
      <sheetName val="Tax Calculator - Calculations"/>
      <sheetName val="Extension"/>
      <sheetName val="Tax Calculator - Extension"/>
      <sheetName val="Certificate of Tax Levy"/>
      <sheetName val="Explanation"/>
      <sheetName val="InfoPage"/>
    </sheetNames>
    <sheetDataSet>
      <sheetData sheetId="0"/>
      <sheetData sheetId="1"/>
      <sheetData sheetId="2"/>
      <sheetData sheetId="3"/>
      <sheetData sheetId="4"/>
      <sheetData sheetId="5">
        <row r="9">
          <cell r="Z9">
            <v>1</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_rels/sheet3.xml.rels><?xml version="1.0" encoding="UTF-8" standalone="yes"?>
<Relationships xmlns="http://schemas.openxmlformats.org/package/2006/relationships"><Relationship Id="rId3" Type="http://schemas.openxmlformats.org/officeDocument/2006/relationships/hyperlink" Target="mailto:steve.adams@ptma.com" TargetMode="External"/><Relationship Id="rId2" Type="http://schemas.openxmlformats.org/officeDocument/2006/relationships/hyperlink" Target="mailto:rlewis@pmanetwork.com" TargetMode="External"/><Relationship Id="rId1" Type="http://schemas.openxmlformats.org/officeDocument/2006/relationships/hyperlink" Target="mailto:andrew.kim@ptma.com"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tabSelected="1" workbookViewId="0">
      <selection activeCell="L31" sqref="L31"/>
    </sheetView>
  </sheetViews>
  <sheetFormatPr defaultRowHeight="12.5" x14ac:dyDescent="0.25"/>
  <sheetData/>
  <sheetProtection algorithmName="SHA-512" hashValue="mWgOCqLCoFpRbLWCBxg4ACoe/U4eseGXg9BZI0tB28Vc4I+/yxxpn0Kc5fQaXSnTRdFqNQWmdx5/RmdNghjiQQ==" saltValue="jKp/ULVgNVDof1bmeyP9uw=="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M103"/>
  <sheetViews>
    <sheetView showGridLines="0" zoomScaleNormal="100" workbookViewId="0">
      <selection activeCell="L79" sqref="L79"/>
    </sheetView>
  </sheetViews>
  <sheetFormatPr defaultColWidth="0" defaultRowHeight="12.5" zeroHeight="1" x14ac:dyDescent="0.25"/>
  <cols>
    <col min="1" max="12" width="9.1796875" customWidth="1"/>
    <col min="13" max="13" width="2.1796875" customWidth="1"/>
    <col min="14" max="16384" width="9.1796875" hidden="1"/>
  </cols>
  <sheetData>
    <row r="1" spans="1:3" ht="13" x14ac:dyDescent="0.3">
      <c r="A1" s="1" t="s">
        <v>26</v>
      </c>
      <c r="B1" s="48"/>
      <c r="C1" s="1"/>
    </row>
    <row r="2" spans="1:3" ht="13" x14ac:dyDescent="0.3">
      <c r="A2" s="1"/>
      <c r="B2" s="48"/>
      <c r="C2" s="1"/>
    </row>
    <row r="3" spans="1:3" x14ac:dyDescent="0.25"/>
    <row r="4" spans="1:3" x14ac:dyDescent="0.25"/>
    <row r="5" spans="1:3" x14ac:dyDescent="0.25"/>
    <row r="6" spans="1:3" x14ac:dyDescent="0.25"/>
    <row r="7" spans="1:3" x14ac:dyDescent="0.25"/>
    <row r="8" spans="1:3" x14ac:dyDescent="0.25"/>
    <row r="9" spans="1:3" x14ac:dyDescent="0.25"/>
    <row r="10" spans="1:3" x14ac:dyDescent="0.25"/>
    <row r="11" spans="1:3" x14ac:dyDescent="0.25"/>
    <row r="12" spans="1:3" x14ac:dyDescent="0.25"/>
    <row r="13" spans="1:3" x14ac:dyDescent="0.25"/>
    <row r="14" spans="1:3" x14ac:dyDescent="0.25"/>
    <row r="15" spans="1:3" x14ac:dyDescent="0.25"/>
    <row r="16" spans="1:3"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sheetData>
  <sheetProtection algorithmName="SHA-512" hashValue="p9PAAvcUQ/6yrkRGKa8S4HNdxWRPwbn+AGzrZvVgt9RnZl3YbPpgodrM89jOszrAOZsAp2aJBSYzv71Prz/57g==" saltValue="qAxOTPX+J6XoXwr/u6JhyA==" spinCount="100000" sheet="1" objects="1" scenarios="1"/>
  <phoneticPr fontId="3"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8" shapeId="3073" r:id="rId4">
          <objectPr defaultSize="0" autoPict="0" r:id="rId5">
            <anchor moveWithCells="1">
              <from>
                <xdr:col>0</xdr:col>
                <xdr:colOff>107950</xdr:colOff>
                <xdr:row>2</xdr:row>
                <xdr:rowOff>25400</xdr:rowOff>
              </from>
              <to>
                <xdr:col>11</xdr:col>
                <xdr:colOff>571500</xdr:colOff>
                <xdr:row>62</xdr:row>
                <xdr:rowOff>0</xdr:rowOff>
              </to>
            </anchor>
          </objectPr>
        </oleObject>
      </mc:Choice>
      <mc:Fallback>
        <oleObject progId="Word.Document.8" shapeId="3073" r:id="rId4"/>
      </mc:Fallback>
    </mc:AlternateContent>
    <mc:AlternateContent xmlns:mc="http://schemas.openxmlformats.org/markup-compatibility/2006">
      <mc:Choice Requires="x14">
        <oleObject progId="Word.Document.12" shapeId="3074" r:id="rId6">
          <objectPr defaultSize="0" autoPict="0" r:id="rId7">
            <anchor moveWithCells="1">
              <from>
                <xdr:col>0</xdr:col>
                <xdr:colOff>0</xdr:colOff>
                <xdr:row>64</xdr:row>
                <xdr:rowOff>139700</xdr:rowOff>
              </from>
              <to>
                <xdr:col>11</xdr:col>
                <xdr:colOff>495300</xdr:colOff>
                <xdr:row>1048575</xdr:row>
                <xdr:rowOff>139700</xdr:rowOff>
              </to>
            </anchor>
          </objectPr>
        </oleObject>
      </mc:Choice>
      <mc:Fallback>
        <oleObject progId="Word.Document.12" shapeId="3074"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73"/>
  <sheetViews>
    <sheetView showGridLines="0" topLeftCell="A46" zoomScaleNormal="100" workbookViewId="0"/>
  </sheetViews>
  <sheetFormatPr defaultColWidth="0" defaultRowHeight="13" zeroHeight="1" x14ac:dyDescent="0.3"/>
  <cols>
    <col min="1" max="1" width="19.453125" style="1" customWidth="1"/>
    <col min="2" max="2" width="28.453125" style="13" customWidth="1"/>
    <col min="3" max="3" width="16.1796875" style="1" customWidth="1"/>
    <col min="4" max="4" width="18.1796875" style="1" customWidth="1"/>
    <col min="5" max="6" width="14.453125" style="14" customWidth="1"/>
    <col min="7" max="8" width="14.453125" style="1" customWidth="1"/>
    <col min="9" max="27" width="9.1796875" style="1" hidden="1" customWidth="1"/>
    <col min="28" max="28" width="9.1796875" style="12" hidden="1" customWidth="1"/>
    <col min="29" max="16384" width="9.1796875" style="1" hidden="1"/>
  </cols>
  <sheetData>
    <row r="1" spans="1:28" x14ac:dyDescent="0.3">
      <c r="A1" s="1" t="s">
        <v>96</v>
      </c>
      <c r="B1" s="48"/>
      <c r="E1" s="1"/>
      <c r="F1" s="1"/>
    </row>
    <row r="2" spans="1:28" x14ac:dyDescent="0.3">
      <c r="A2" s="1" t="s">
        <v>144</v>
      </c>
      <c r="B2" s="48"/>
      <c r="E2" s="1"/>
      <c r="F2" s="1"/>
    </row>
    <row r="3" spans="1:28" x14ac:dyDescent="0.3">
      <c r="A3" s="48" t="s">
        <v>141</v>
      </c>
      <c r="B3" s="202" t="s">
        <v>168</v>
      </c>
      <c r="C3" s="203"/>
      <c r="E3" s="1"/>
      <c r="F3" s="1"/>
    </row>
    <row r="4" spans="1:28" x14ac:dyDescent="0.3">
      <c r="A4" s="48" t="s">
        <v>142</v>
      </c>
      <c r="B4" s="202" t="s">
        <v>169</v>
      </c>
      <c r="C4" s="203"/>
      <c r="E4" s="1"/>
      <c r="F4" s="1"/>
    </row>
    <row r="5" spans="1:28" hidden="1" x14ac:dyDescent="0.3">
      <c r="A5" s="48" t="s">
        <v>143</v>
      </c>
      <c r="B5" s="202" t="s">
        <v>140</v>
      </c>
      <c r="C5" s="203"/>
      <c r="E5" s="1"/>
      <c r="F5" s="1"/>
    </row>
    <row r="6" spans="1:28" x14ac:dyDescent="0.3">
      <c r="A6" s="1" t="s">
        <v>27</v>
      </c>
      <c r="B6" s="48"/>
      <c r="E6" s="1"/>
      <c r="F6" s="1"/>
    </row>
    <row r="7" spans="1:28" s="14" customFormat="1" ht="18" thickBot="1" x14ac:dyDescent="0.4">
      <c r="A7" s="72" t="s">
        <v>2</v>
      </c>
      <c r="B7" s="73"/>
      <c r="C7" s="72"/>
      <c r="D7" s="73"/>
      <c r="E7" s="73"/>
      <c r="F7" s="86" t="s">
        <v>32</v>
      </c>
      <c r="G7" s="73"/>
      <c r="H7" s="73"/>
      <c r="AB7" s="15" t="s">
        <v>8</v>
      </c>
    </row>
    <row r="8" spans="1:28" s="14" customFormat="1" ht="15.75" customHeight="1" x14ac:dyDescent="0.3">
      <c r="A8" s="73"/>
      <c r="B8" s="74"/>
      <c r="C8" s="73"/>
      <c r="D8" s="73"/>
      <c r="E8" s="85"/>
      <c r="F8" s="102" t="s">
        <v>30</v>
      </c>
      <c r="G8" s="84"/>
      <c r="H8" s="73"/>
      <c r="AB8" s="15" t="s">
        <v>9</v>
      </c>
    </row>
    <row r="9" spans="1:28" ht="15" x14ac:dyDescent="0.3">
      <c r="A9" s="75"/>
      <c r="B9" s="75" t="s">
        <v>49</v>
      </c>
      <c r="C9" s="209">
        <v>2025</v>
      </c>
      <c r="D9" s="76"/>
      <c r="E9" s="70"/>
      <c r="F9" s="100" t="s">
        <v>31</v>
      </c>
      <c r="G9" s="71"/>
      <c r="H9" s="73"/>
    </row>
    <row r="10" spans="1:28" s="14" customFormat="1" ht="15.75" customHeight="1" thickBot="1" x14ac:dyDescent="0.35">
      <c r="A10" s="74"/>
      <c r="B10" s="74"/>
      <c r="C10" s="73"/>
      <c r="D10" s="73"/>
      <c r="E10" s="93"/>
      <c r="F10" s="101" t="s">
        <v>35</v>
      </c>
      <c r="G10" s="94"/>
      <c r="H10" s="73"/>
      <c r="AB10" s="15"/>
    </row>
    <row r="11" spans="1:28" ht="15" x14ac:dyDescent="0.3">
      <c r="A11" s="75"/>
      <c r="B11" s="75" t="s">
        <v>39</v>
      </c>
      <c r="C11" s="68"/>
      <c r="D11" s="76" t="s">
        <v>60</v>
      </c>
      <c r="E11" s="73"/>
      <c r="F11" s="73"/>
      <c r="G11" s="73"/>
      <c r="H11" s="73"/>
    </row>
    <row r="12" spans="1:28" ht="15" hidden="1" x14ac:dyDescent="0.3">
      <c r="A12" s="75"/>
      <c r="B12" s="75" t="s">
        <v>38</v>
      </c>
      <c r="C12" s="68"/>
      <c r="D12" s="76" t="s">
        <v>61</v>
      </c>
      <c r="E12" s="73"/>
      <c r="F12" s="73"/>
      <c r="G12" s="73"/>
      <c r="H12" s="73"/>
    </row>
    <row r="13" spans="1:28" ht="15" x14ac:dyDescent="0.3">
      <c r="A13" s="75"/>
      <c r="B13" s="75" t="s">
        <v>58</v>
      </c>
      <c r="C13" s="68"/>
      <c r="D13" s="76" t="s">
        <v>79</v>
      </c>
      <c r="E13" s="73"/>
      <c r="F13" s="73"/>
      <c r="G13" s="73"/>
      <c r="H13" s="73"/>
    </row>
    <row r="14" spans="1:28" ht="15" x14ac:dyDescent="0.3">
      <c r="A14" s="75"/>
      <c r="B14" s="75" t="s">
        <v>40</v>
      </c>
      <c r="C14" s="68"/>
      <c r="D14" s="76" t="s">
        <v>76</v>
      </c>
      <c r="E14" s="73"/>
      <c r="F14" s="73"/>
      <c r="G14" s="73"/>
      <c r="H14" s="73"/>
    </row>
    <row r="15" spans="1:28" ht="15" x14ac:dyDescent="0.3">
      <c r="A15" s="75"/>
      <c r="B15" s="75" t="s">
        <v>41</v>
      </c>
      <c r="C15" s="68"/>
      <c r="D15" s="76" t="s">
        <v>78</v>
      </c>
      <c r="E15" s="73"/>
      <c r="F15" s="73"/>
      <c r="G15" s="73"/>
      <c r="H15" s="73"/>
    </row>
    <row r="16" spans="1:28" ht="15" x14ac:dyDescent="0.3">
      <c r="A16" s="75"/>
      <c r="B16" s="75" t="s">
        <v>42</v>
      </c>
      <c r="C16" s="68"/>
      <c r="D16" s="76" t="s">
        <v>77</v>
      </c>
      <c r="E16" s="73"/>
      <c r="F16" s="73"/>
      <c r="G16" s="73"/>
      <c r="H16" s="73"/>
    </row>
    <row r="17" spans="1:28" s="14" customFormat="1" x14ac:dyDescent="0.3">
      <c r="A17" s="74"/>
      <c r="B17" s="74"/>
      <c r="C17" s="76" t="s">
        <v>3</v>
      </c>
      <c r="D17" s="73"/>
      <c r="E17" s="73"/>
      <c r="F17" s="73"/>
      <c r="G17" s="73"/>
      <c r="H17" s="73"/>
      <c r="AB17" s="15"/>
    </row>
    <row r="18" spans="1:28" s="14" customFormat="1" ht="13.5" thickBot="1" x14ac:dyDescent="0.35">
      <c r="A18" s="74"/>
      <c r="B18" s="74"/>
      <c r="C18" s="73"/>
      <c r="D18" s="73"/>
      <c r="E18" s="73"/>
      <c r="F18" s="73"/>
      <c r="G18" s="73"/>
      <c r="H18" s="73"/>
      <c r="AB18" s="15"/>
    </row>
    <row r="19" spans="1:28" ht="15.75" customHeight="1" x14ac:dyDescent="0.3">
      <c r="A19" s="77"/>
      <c r="B19" s="75" t="s">
        <v>43</v>
      </c>
      <c r="C19" s="103" t="s">
        <v>8</v>
      </c>
      <c r="D19" s="76" t="s">
        <v>62</v>
      </c>
      <c r="E19" s="265" t="s">
        <v>105</v>
      </c>
      <c r="F19" s="266"/>
      <c r="G19" s="267"/>
      <c r="H19" s="73"/>
    </row>
    <row r="20" spans="1:28" ht="8" customHeight="1" x14ac:dyDescent="0.3">
      <c r="A20" s="77"/>
      <c r="B20" s="75"/>
      <c r="C20" s="77"/>
      <c r="D20" s="77"/>
      <c r="E20" s="268"/>
      <c r="F20" s="269"/>
      <c r="G20" s="270"/>
      <c r="H20" s="73"/>
    </row>
    <row r="21" spans="1:28" s="14" customFormat="1" ht="15.65" hidden="1" customHeight="1" x14ac:dyDescent="0.3">
      <c r="A21" s="74"/>
      <c r="B21" s="75" t="s">
        <v>59</v>
      </c>
      <c r="C21" s="103" t="s">
        <v>9</v>
      </c>
      <c r="D21" s="76" t="s">
        <v>62</v>
      </c>
      <c r="E21" s="268"/>
      <c r="F21" s="269"/>
      <c r="G21" s="270"/>
      <c r="H21" s="73"/>
      <c r="AB21" s="15"/>
    </row>
    <row r="22" spans="1:28" s="14" customFormat="1" ht="13.5" thickBot="1" x14ac:dyDescent="0.35">
      <c r="A22" s="74"/>
      <c r="B22" s="74"/>
      <c r="C22" s="73"/>
      <c r="D22" s="73"/>
      <c r="E22" s="271"/>
      <c r="F22" s="272"/>
      <c r="G22" s="273"/>
      <c r="H22" s="73"/>
      <c r="AB22" s="15"/>
    </row>
    <row r="23" spans="1:28" ht="15" hidden="1" x14ac:dyDescent="0.3">
      <c r="A23" s="75"/>
      <c r="B23" s="75" t="s">
        <v>44</v>
      </c>
      <c r="C23" s="68" t="s">
        <v>10</v>
      </c>
      <c r="D23" s="76"/>
      <c r="E23" s="258" t="s">
        <v>103</v>
      </c>
      <c r="F23" s="259"/>
      <c r="G23" s="73"/>
      <c r="H23" s="73"/>
    </row>
    <row r="24" spans="1:28" ht="15.5" hidden="1" thickBot="1" x14ac:dyDescent="0.35">
      <c r="A24" s="75"/>
      <c r="B24" s="75" t="s">
        <v>45</v>
      </c>
      <c r="C24" s="68"/>
      <c r="D24" s="76"/>
      <c r="E24" s="260"/>
      <c r="F24" s="261"/>
      <c r="G24" s="73"/>
      <c r="H24" s="73"/>
    </row>
    <row r="25" spans="1:28" s="14" customFormat="1" hidden="1" x14ac:dyDescent="0.3">
      <c r="A25" s="74"/>
      <c r="B25" s="74"/>
      <c r="C25" s="76" t="s">
        <v>4</v>
      </c>
      <c r="D25" s="73"/>
      <c r="E25" s="73"/>
      <c r="F25" s="73"/>
      <c r="G25" s="73"/>
      <c r="H25" s="73"/>
      <c r="AB25" s="15"/>
    </row>
    <row r="26" spans="1:28" s="14" customFormat="1" hidden="1" x14ac:dyDescent="0.3">
      <c r="A26" s="74"/>
      <c r="B26" s="74"/>
      <c r="C26" s="73"/>
      <c r="D26" s="73"/>
      <c r="E26" s="73"/>
      <c r="F26" s="73"/>
      <c r="G26" s="73"/>
      <c r="H26" s="73"/>
      <c r="AB26" s="15"/>
    </row>
    <row r="27" spans="1:28" s="14" customFormat="1" hidden="1" x14ac:dyDescent="0.3">
      <c r="A27" s="74"/>
      <c r="B27" s="74"/>
      <c r="C27" s="73"/>
      <c r="D27" s="73"/>
      <c r="E27" s="73"/>
      <c r="F27" s="73"/>
      <c r="G27" s="73"/>
      <c r="H27" s="73"/>
      <c r="AB27" s="15"/>
    </row>
    <row r="28" spans="1:28" ht="15" x14ac:dyDescent="0.3">
      <c r="A28" s="75"/>
      <c r="B28" s="75" t="s">
        <v>102</v>
      </c>
      <c r="C28" s="137">
        <v>2.9000000000000001E-2</v>
      </c>
      <c r="D28" s="78" t="str">
        <f>" Lesser of 5% or CPI for Year Ending "&amp;C9-1&amp;", Applies to the "&amp;C9&amp;" Levy"</f>
        <v xml:space="preserve"> Lesser of 5% or CPI for Year Ending 2024, Applies to the 2025 Levy</v>
      </c>
      <c r="E28" s="73"/>
      <c r="F28" s="73"/>
      <c r="G28" s="73"/>
      <c r="H28" s="73"/>
    </row>
    <row r="29" spans="1:28" ht="12.75" customHeight="1" x14ac:dyDescent="0.3">
      <c r="A29" s="75"/>
      <c r="B29" s="75"/>
      <c r="C29" s="73"/>
      <c r="D29" s="78"/>
      <c r="E29" s="73"/>
      <c r="F29" s="73"/>
      <c r="G29" s="73"/>
      <c r="H29" s="73"/>
    </row>
    <row r="30" spans="1:28" ht="15" x14ac:dyDescent="0.3">
      <c r="A30" s="75"/>
      <c r="B30" s="75" t="str">
        <f>"Actual Rate Setting EAV for "&amp;C9-1&amp;" "</f>
        <v xml:space="preserve">Actual Rate Setting EAV for 2024 </v>
      </c>
      <c r="C30" s="55"/>
      <c r="D30" s="76" t="str">
        <f>" Enter Actual Rate Setting EAV for "&amp;C9-1&amp;""</f>
        <v xml:space="preserve"> Enter Actual Rate Setting EAV for 2024</v>
      </c>
      <c r="E30" s="73"/>
      <c r="F30" s="73"/>
      <c r="G30" s="73"/>
      <c r="H30" s="73"/>
    </row>
    <row r="31" spans="1:28" x14ac:dyDescent="0.3">
      <c r="A31" s="73"/>
      <c r="B31" s="74"/>
      <c r="C31" s="73"/>
      <c r="D31" s="73"/>
      <c r="E31" s="73"/>
      <c r="F31" s="73"/>
      <c r="G31" s="73"/>
      <c r="H31" s="73"/>
    </row>
    <row r="32" spans="1:28" ht="15" x14ac:dyDescent="0.3">
      <c r="A32" s="73"/>
      <c r="B32" s="75" t="str">
        <f>"Preliminary Figure Available for "&amp;C9&amp;" EAV? "</f>
        <v xml:space="preserve">Preliminary Figure Available for 2025 EAV? </v>
      </c>
      <c r="C32" s="103" t="s">
        <v>9</v>
      </c>
      <c r="D32" s="76" t="s">
        <v>146</v>
      </c>
      <c r="E32" s="73"/>
      <c r="F32" s="73"/>
      <c r="G32" s="73"/>
      <c r="H32" s="73"/>
    </row>
    <row r="33" spans="1:8" x14ac:dyDescent="0.3">
      <c r="A33" s="73"/>
      <c r="B33" s="74"/>
      <c r="C33" s="73"/>
      <c r="D33" s="73"/>
      <c r="E33" s="73"/>
      <c r="F33" s="73"/>
      <c r="G33" s="73"/>
      <c r="H33" s="73"/>
    </row>
    <row r="34" spans="1:8" ht="15" x14ac:dyDescent="0.3">
      <c r="A34" s="75"/>
      <c r="B34" s="75" t="str">
        <f>"Estimated Existing EAV % Change for "&amp;C9&amp;" "</f>
        <v xml:space="preserve">Estimated Existing EAV % Change for 2025 </v>
      </c>
      <c r="C34" s="104"/>
      <c r="D34" s="76" t="str">
        <f>IF(C19="Yes","Enter Reassessment Percentage Before New Property","Enter Reassessment Percentage")</f>
        <v>Enter Reassessment Percentage Before New Property</v>
      </c>
      <c r="E34" s="73"/>
      <c r="F34" s="73"/>
      <c r="G34" s="73"/>
      <c r="H34" s="73"/>
    </row>
    <row r="35" spans="1:8" ht="3" customHeight="1" x14ac:dyDescent="0.3">
      <c r="A35" s="75"/>
      <c r="B35" s="75"/>
      <c r="C35" s="75"/>
      <c r="D35" s="76"/>
      <c r="E35" s="73"/>
      <c r="F35" s="73"/>
      <c r="G35" s="73"/>
      <c r="H35" s="73"/>
    </row>
    <row r="36" spans="1:8" ht="15" x14ac:dyDescent="0.3">
      <c r="A36" s="75"/>
      <c r="B36" s="75" t="str">
        <f>"Estimated or Preliminary EAV for "&amp;C9&amp;" "</f>
        <v xml:space="preserve">Estimated or Preliminary EAV for 2025 </v>
      </c>
      <c r="C36" s="208"/>
      <c r="D36" s="76"/>
      <c r="E36" s="73"/>
      <c r="F36" s="73"/>
      <c r="G36" s="262" t="s">
        <v>152</v>
      </c>
      <c r="H36" s="262"/>
    </row>
    <row r="37" spans="1:8" x14ac:dyDescent="0.3">
      <c r="A37" s="74"/>
      <c r="B37" s="74"/>
      <c r="C37" s="73"/>
      <c r="D37" s="73"/>
      <c r="E37" s="73"/>
      <c r="F37" s="73"/>
      <c r="G37" s="263" t="s">
        <v>153</v>
      </c>
      <c r="H37" s="263"/>
    </row>
    <row r="38" spans="1:8" ht="15" x14ac:dyDescent="0.3">
      <c r="A38" s="75"/>
      <c r="B38" s="75" t="str">
        <f>"Estimated New Property for "&amp;C9&amp;" "</f>
        <v xml:space="preserve">Estimated New Property for 2025 </v>
      </c>
      <c r="C38" s="55"/>
      <c r="D38" s="76" t="s">
        <v>63</v>
      </c>
      <c r="E38" s="73"/>
      <c r="F38" s="73"/>
      <c r="G38" s="264" t="s">
        <v>154</v>
      </c>
      <c r="H38" s="264"/>
    </row>
    <row r="39" spans="1:8" ht="12.75" customHeight="1" x14ac:dyDescent="0.3">
      <c r="A39" s="75"/>
      <c r="B39" s="75"/>
      <c r="C39" s="73"/>
      <c r="D39" s="76"/>
      <c r="E39" s="73"/>
      <c r="F39" s="73"/>
      <c r="G39" s="264" t="s">
        <v>155</v>
      </c>
      <c r="H39" s="264"/>
    </row>
    <row r="40" spans="1:8" ht="15" x14ac:dyDescent="0.3">
      <c r="A40" s="75"/>
      <c r="B40" s="75" t="str">
        <f>"Estimated Total EAV for "&amp;C9&amp;" "</f>
        <v xml:space="preserve">Estimated Total EAV for 2025 </v>
      </c>
      <c r="C40" s="92">
        <f>IF($C$19="Yes",C30*(1+C34)+C38,IF(C32="No",C30*(1+C34),C36))</f>
        <v>0</v>
      </c>
      <c r="D40" s="76" t="s">
        <v>36</v>
      </c>
      <c r="E40" s="73"/>
      <c r="F40" s="73"/>
      <c r="G40" s="264" t="s">
        <v>166</v>
      </c>
      <c r="H40" s="264"/>
    </row>
    <row r="41" spans="1:8" ht="15" x14ac:dyDescent="0.3">
      <c r="A41" s="75"/>
      <c r="B41" s="75" t="s">
        <v>47</v>
      </c>
      <c r="C41" s="90" t="e">
        <f>C40/C30-1</f>
        <v>#DIV/0!</v>
      </c>
      <c r="D41" s="76" t="s">
        <v>36</v>
      </c>
      <c r="E41" s="73"/>
      <c r="F41" s="73"/>
      <c r="G41" s="73"/>
      <c r="H41" s="73"/>
    </row>
    <row r="42" spans="1:8" ht="13.5" thickBot="1" x14ac:dyDescent="0.35">
      <c r="A42" s="73"/>
      <c r="B42" s="73"/>
      <c r="C42" s="73"/>
      <c r="D42" s="73"/>
      <c r="E42" s="73"/>
      <c r="F42" s="73"/>
      <c r="G42" s="73"/>
      <c r="H42" s="73"/>
    </row>
    <row r="43" spans="1:8" ht="15" hidden="1" x14ac:dyDescent="0.3">
      <c r="A43" s="75"/>
      <c r="B43" s="79" t="s">
        <v>48</v>
      </c>
      <c r="C43" s="68">
        <v>0</v>
      </c>
      <c r="D43" s="76"/>
      <c r="E43" s="73"/>
      <c r="F43" s="73"/>
      <c r="G43" s="73"/>
      <c r="H43" s="73"/>
    </row>
    <row r="44" spans="1:8" ht="13.5" hidden="1" thickBot="1" x14ac:dyDescent="0.35">
      <c r="A44" s="74"/>
      <c r="B44" s="74"/>
      <c r="C44" s="73"/>
      <c r="D44" s="73"/>
      <c r="E44" s="73"/>
      <c r="F44" s="73"/>
      <c r="G44" s="73"/>
      <c r="H44" s="73"/>
    </row>
    <row r="45" spans="1:8" x14ac:dyDescent="0.3">
      <c r="A45" s="74"/>
      <c r="B45" s="74"/>
      <c r="C45" s="73"/>
      <c r="D45" s="73"/>
      <c r="E45" s="249" t="s">
        <v>104</v>
      </c>
      <c r="F45" s="250"/>
      <c r="G45" s="251"/>
      <c r="H45" s="73"/>
    </row>
    <row r="46" spans="1:8" x14ac:dyDescent="0.3">
      <c r="A46" s="74"/>
      <c r="B46" s="74"/>
      <c r="C46" s="73"/>
      <c r="D46" s="73"/>
      <c r="E46" s="252"/>
      <c r="F46" s="253"/>
      <c r="G46" s="254"/>
      <c r="H46" s="73"/>
    </row>
    <row r="47" spans="1:8" ht="13.5" thickBot="1" x14ac:dyDescent="0.35">
      <c r="A47" s="74"/>
      <c r="B47" s="74"/>
      <c r="C47" s="73"/>
      <c r="D47" s="73"/>
      <c r="E47" s="255"/>
      <c r="F47" s="256"/>
      <c r="G47" s="257"/>
      <c r="H47" s="73"/>
    </row>
    <row r="48" spans="1:8" x14ac:dyDescent="0.3">
      <c r="A48" s="74"/>
      <c r="B48" s="74"/>
      <c r="C48" s="74"/>
      <c r="D48" s="73"/>
      <c r="E48" s="73"/>
      <c r="F48" s="73"/>
      <c r="G48" s="73"/>
      <c r="H48" s="73"/>
    </row>
    <row r="49" spans="1:8" ht="39" x14ac:dyDescent="0.3">
      <c r="A49" s="74"/>
      <c r="B49" s="74"/>
      <c r="C49" s="99" t="s">
        <v>80</v>
      </c>
      <c r="D49" s="99" t="str">
        <f>"Total "&amp;C9-1&amp;" Extension for all Counties"</f>
        <v>Total 2024 Extension for all Counties</v>
      </c>
      <c r="E49" s="99" t="str">
        <f>"Input "&amp;C9-1&amp;" "&amp;C13&amp;" County Extension:"</f>
        <v>Input 2024  County Extension:</v>
      </c>
      <c r="F49" s="99" t="str">
        <f>IF(C14="","","Input "&amp;C9-1&amp;" "&amp;C14&amp;" County Extension:")</f>
        <v/>
      </c>
      <c r="G49" s="99" t="str">
        <f>IF(C15="","","Input "&amp;C9-1&amp;" "&amp;C15&amp;" County Extension:")</f>
        <v/>
      </c>
      <c r="H49" s="99" t="str">
        <f>IF(C16="","","Input "&amp;C9-1&amp;" "&amp;C16&amp;" County Extension:")</f>
        <v/>
      </c>
    </row>
    <row r="50" spans="1:8" ht="15" x14ac:dyDescent="0.3">
      <c r="A50" s="105" t="str">
        <f>IF($C$19="Yes","N/A"," ")</f>
        <v>N/A</v>
      </c>
      <c r="B50" s="75" t="s">
        <v>136</v>
      </c>
      <c r="C50" s="246"/>
      <c r="D50" s="59">
        <f>SUM(E50:H50)</f>
        <v>0</v>
      </c>
      <c r="E50" s="180"/>
      <c r="F50" s="180"/>
      <c r="G50" s="180"/>
      <c r="H50" s="180"/>
    </row>
    <row r="51" spans="1:8" ht="15" x14ac:dyDescent="0.3">
      <c r="A51" s="75"/>
      <c r="B51" s="75" t="s">
        <v>135</v>
      </c>
      <c r="C51" s="246"/>
      <c r="D51" s="59">
        <f t="shared" ref="D51:D61" si="0">SUM(E51:H51)</f>
        <v>0</v>
      </c>
      <c r="E51" s="180"/>
      <c r="F51" s="180"/>
      <c r="G51" s="180"/>
      <c r="H51" s="180"/>
    </row>
    <row r="52" spans="1:8" ht="15" x14ac:dyDescent="0.3">
      <c r="A52" s="75"/>
      <c r="B52" s="75" t="s">
        <v>134</v>
      </c>
      <c r="C52" s="246"/>
      <c r="D52" s="59">
        <f t="shared" si="0"/>
        <v>0</v>
      </c>
      <c r="E52" s="180"/>
      <c r="F52" s="180"/>
      <c r="G52" s="180"/>
      <c r="H52" s="180"/>
    </row>
    <row r="53" spans="1:8" ht="15" x14ac:dyDescent="0.3">
      <c r="A53" s="75"/>
      <c r="B53" s="75" t="s">
        <v>50</v>
      </c>
      <c r="C53" s="134"/>
      <c r="D53" s="59">
        <f t="shared" si="0"/>
        <v>0</v>
      </c>
      <c r="E53" s="180"/>
      <c r="F53" s="180"/>
      <c r="G53" s="180"/>
      <c r="H53" s="180"/>
    </row>
    <row r="54" spans="1:8" ht="15" x14ac:dyDescent="0.3">
      <c r="A54" s="75"/>
      <c r="B54" s="75" t="s">
        <v>133</v>
      </c>
      <c r="C54" s="134"/>
      <c r="D54" s="59">
        <f t="shared" si="0"/>
        <v>0</v>
      </c>
      <c r="E54" s="180"/>
      <c r="F54" s="180"/>
      <c r="G54" s="180"/>
      <c r="H54" s="180"/>
    </row>
    <row r="55" spans="1:8" ht="15" x14ac:dyDescent="0.3">
      <c r="A55" s="75"/>
      <c r="B55" s="75" t="s">
        <v>132</v>
      </c>
      <c r="C55" s="134"/>
      <c r="D55" s="59">
        <f t="shared" si="0"/>
        <v>0</v>
      </c>
      <c r="E55" s="180"/>
      <c r="F55" s="180"/>
      <c r="G55" s="180"/>
      <c r="H55" s="180"/>
    </row>
    <row r="56" spans="1:8" ht="15" x14ac:dyDescent="0.3">
      <c r="A56" s="75"/>
      <c r="B56" s="75" t="s">
        <v>51</v>
      </c>
      <c r="C56" s="134"/>
      <c r="D56" s="59">
        <f t="shared" si="0"/>
        <v>0</v>
      </c>
      <c r="E56" s="180"/>
      <c r="F56" s="180"/>
      <c r="G56" s="180"/>
      <c r="H56" s="180"/>
    </row>
    <row r="57" spans="1:8" ht="15" x14ac:dyDescent="0.3">
      <c r="A57" s="75"/>
      <c r="B57" s="75" t="s">
        <v>130</v>
      </c>
      <c r="C57" s="134"/>
      <c r="D57" s="59">
        <f t="shared" si="0"/>
        <v>0</v>
      </c>
      <c r="E57" s="180"/>
      <c r="F57" s="180"/>
      <c r="G57" s="180"/>
      <c r="H57" s="180"/>
    </row>
    <row r="58" spans="1:8" ht="15" x14ac:dyDescent="0.3">
      <c r="A58" s="75"/>
      <c r="B58" s="75" t="s">
        <v>131</v>
      </c>
      <c r="C58" s="246"/>
      <c r="D58" s="59">
        <f t="shared" si="0"/>
        <v>0</v>
      </c>
      <c r="E58" s="180"/>
      <c r="F58" s="180"/>
      <c r="G58" s="180"/>
      <c r="H58" s="180"/>
    </row>
    <row r="59" spans="1:8" ht="15" x14ac:dyDescent="0.3">
      <c r="A59" s="79" t="s">
        <v>52</v>
      </c>
      <c r="B59" s="69" t="s">
        <v>137</v>
      </c>
      <c r="C59" s="246"/>
      <c r="D59" s="59">
        <f t="shared" si="0"/>
        <v>0</v>
      </c>
      <c r="E59" s="180"/>
      <c r="F59" s="180"/>
      <c r="G59" s="180"/>
      <c r="H59" s="180"/>
    </row>
    <row r="60" spans="1:8" ht="15" x14ac:dyDescent="0.3">
      <c r="A60" s="79" t="s">
        <v>52</v>
      </c>
      <c r="B60" s="69" t="s">
        <v>138</v>
      </c>
      <c r="C60" s="246"/>
      <c r="D60" s="59">
        <f t="shared" si="0"/>
        <v>0</v>
      </c>
      <c r="E60" s="180"/>
      <c r="F60" s="180"/>
      <c r="G60" s="180"/>
      <c r="H60" s="180"/>
    </row>
    <row r="61" spans="1:8" ht="15" x14ac:dyDescent="0.3">
      <c r="A61" s="79" t="s">
        <v>52</v>
      </c>
      <c r="B61" s="69" t="s">
        <v>139</v>
      </c>
      <c r="C61" s="246"/>
      <c r="D61" s="59">
        <f t="shared" si="0"/>
        <v>0</v>
      </c>
      <c r="E61" s="180"/>
      <c r="F61" s="180"/>
      <c r="G61" s="180"/>
      <c r="H61" s="180"/>
    </row>
    <row r="62" spans="1:8" ht="15" x14ac:dyDescent="0.3">
      <c r="A62" s="75"/>
      <c r="B62" s="80"/>
      <c r="C62" s="75"/>
      <c r="D62" s="81"/>
      <c r="E62" s="74"/>
      <c r="F62" s="74"/>
      <c r="G62" s="74"/>
      <c r="H62" s="74"/>
    </row>
    <row r="63" spans="1:8" ht="15" x14ac:dyDescent="0.3">
      <c r="A63" s="73"/>
      <c r="B63" s="73"/>
      <c r="C63" s="75" t="str">
        <f>IF(C19="Yes","Total Capped Extension for "&amp;C9-1&amp;" ","Total Aggregate Extension for "&amp;C9-1&amp;" ")</f>
        <v xml:space="preserve">Total Capped Extension for 2024 </v>
      </c>
      <c r="D63" s="242">
        <f>SUM(D50:D61)</f>
        <v>0</v>
      </c>
      <c r="E63" s="243" t="str">
        <f>IF(E50&gt;0,SUM(E50:E61),"")</f>
        <v/>
      </c>
      <c r="F63" s="243" t="str">
        <f>IF(F50&gt;0,SUM(F50:F61),"")</f>
        <v/>
      </c>
      <c r="G63" s="243" t="str">
        <f>IF(G50&gt;0,SUM(G50:G61),"")</f>
        <v/>
      </c>
      <c r="H63" s="243" t="str">
        <f>IF(H50&gt;0,SUM(H50:H61),"")</f>
        <v/>
      </c>
    </row>
    <row r="64" spans="1:8" hidden="1" x14ac:dyDescent="0.3">
      <c r="A64" s="73"/>
      <c r="B64" s="73"/>
      <c r="C64" s="73"/>
      <c r="D64" s="73"/>
      <c r="E64" s="73"/>
      <c r="F64" s="73"/>
      <c r="G64" s="73"/>
      <c r="H64" s="73"/>
    </row>
    <row r="65" spans="1:8" ht="15" hidden="1" x14ac:dyDescent="0.3">
      <c r="A65" s="73"/>
      <c r="B65" s="75" t="s">
        <v>97</v>
      </c>
      <c r="C65" s="135">
        <v>0.04</v>
      </c>
      <c r="D65" s="60"/>
      <c r="E65" s="73"/>
      <c r="F65" s="78"/>
      <c r="G65" s="78"/>
      <c r="H65" s="78"/>
    </row>
    <row r="66" spans="1:8" ht="15" x14ac:dyDescent="0.3">
      <c r="A66" s="73"/>
      <c r="B66" s="73"/>
      <c r="C66" s="75"/>
      <c r="D66" s="73"/>
      <c r="E66" s="73"/>
      <c r="F66" s="73"/>
      <c r="G66" s="73"/>
      <c r="H66" s="73"/>
    </row>
    <row r="67" spans="1:8" ht="15" x14ac:dyDescent="0.3">
      <c r="A67" s="73"/>
      <c r="B67" s="73"/>
      <c r="C67" s="75" t="str">
        <f>"Bond and Interest Extension for "&amp;C9-1&amp;" "</f>
        <v xml:space="preserve">Bond and Interest Extension for 2024 </v>
      </c>
      <c r="D67" s="62">
        <f>SUM(E67:H67)</f>
        <v>0</v>
      </c>
      <c r="E67" s="180"/>
      <c r="F67" s="180"/>
      <c r="G67" s="180"/>
      <c r="H67" s="180"/>
    </row>
    <row r="68" spans="1:8" ht="15" x14ac:dyDescent="0.3">
      <c r="A68" s="75"/>
      <c r="B68" s="75"/>
      <c r="C68" s="75"/>
      <c r="D68" s="82"/>
      <c r="E68" s="73"/>
      <c r="F68" s="73"/>
      <c r="G68" s="73"/>
      <c r="H68" s="73"/>
    </row>
    <row r="69" spans="1:8" ht="15" x14ac:dyDescent="0.3">
      <c r="A69" s="75"/>
      <c r="B69" s="75"/>
      <c r="C69" s="75" t="str">
        <f>"Total "&amp;C9-1&amp;" Extension "</f>
        <v xml:space="preserve">Total 2024 Extension </v>
      </c>
      <c r="D69" s="62">
        <f>D63+D67+D65</f>
        <v>0</v>
      </c>
      <c r="E69" s="76" t="s">
        <v>28</v>
      </c>
      <c r="F69" s="76"/>
      <c r="G69" s="76"/>
      <c r="H69" s="76"/>
    </row>
    <row r="70" spans="1:8" ht="15" x14ac:dyDescent="0.3">
      <c r="A70" s="74"/>
      <c r="B70" s="74"/>
      <c r="C70" s="75"/>
      <c r="D70" s="73"/>
      <c r="E70" s="76"/>
      <c r="F70" s="76"/>
      <c r="G70" s="76"/>
      <c r="H70" s="76"/>
    </row>
    <row r="71" spans="1:8" x14ac:dyDescent="0.3">
      <c r="A71" s="83"/>
      <c r="B71" s="74"/>
      <c r="C71" s="73"/>
      <c r="D71" s="73"/>
      <c r="E71" s="73"/>
      <c r="F71" s="73"/>
      <c r="G71" s="73"/>
      <c r="H71" s="73"/>
    </row>
    <row r="72" spans="1:8" hidden="1" x14ac:dyDescent="0.3">
      <c r="A72" s="83"/>
      <c r="B72" s="74"/>
      <c r="C72" s="73"/>
      <c r="D72" s="73"/>
      <c r="E72" s="73"/>
      <c r="F72" s="73"/>
      <c r="G72" s="73"/>
      <c r="H72" s="73"/>
    </row>
    <row r="73" spans="1:8" hidden="1" x14ac:dyDescent="0.3">
      <c r="A73" s="74"/>
      <c r="B73" s="74"/>
      <c r="C73" s="74"/>
      <c r="D73" s="73"/>
      <c r="E73" s="73"/>
      <c r="F73" s="73"/>
      <c r="G73" s="73"/>
      <c r="H73" s="73"/>
    </row>
  </sheetData>
  <sheetProtection algorithmName="SHA-512" hashValue="42GBuL/Yv6uIP/AN2b/6RrtwrjYi0EaKOCINYlRMl+jAKWvjA4YAQyCMxbdPbEJ8CAaxN1PW+XYm0dnLxjCNiw==" saltValue="aGkDuL8KvHJKUje2xG21Ww==" spinCount="100000" sheet="1" objects="1" scenarios="1"/>
  <mergeCells count="8">
    <mergeCell ref="E19:G22"/>
    <mergeCell ref="E45:G47"/>
    <mergeCell ref="E23:F24"/>
    <mergeCell ref="G36:H36"/>
    <mergeCell ref="G37:H37"/>
    <mergeCell ref="G38:H38"/>
    <mergeCell ref="G39:H39"/>
    <mergeCell ref="G40:H40"/>
  </mergeCells>
  <phoneticPr fontId="3" type="noConversion"/>
  <conditionalFormatting sqref="A21">
    <cfRule type="expression" dxfId="135" priority="36" stopIfTrue="1">
      <formula>$C$19="No"</formula>
    </cfRule>
  </conditionalFormatting>
  <conditionalFormatting sqref="A28:B29">
    <cfRule type="expression" dxfId="134" priority="24" stopIfTrue="1">
      <formula>$C$19="No"</formula>
    </cfRule>
  </conditionalFormatting>
  <conditionalFormatting sqref="A36:C36">
    <cfRule type="expression" dxfId="133" priority="11">
      <formula>$C$32="No"</formula>
    </cfRule>
  </conditionalFormatting>
  <conditionalFormatting sqref="A34:D34">
    <cfRule type="expression" dxfId="132" priority="9">
      <formula>$C$32="Yes"</formula>
    </cfRule>
  </conditionalFormatting>
  <conditionalFormatting sqref="A38:D38">
    <cfRule type="expression" dxfId="131" priority="13" stopIfTrue="1">
      <formula>$C$19="No"</formula>
    </cfRule>
  </conditionalFormatting>
  <conditionalFormatting sqref="A36:F36">
    <cfRule type="expression" dxfId="130" priority="10">
      <formula>$C$19="Yes"</formula>
    </cfRule>
  </conditionalFormatting>
  <conditionalFormatting sqref="A32:H32">
    <cfRule type="expression" dxfId="129" priority="12">
      <formula>$C$19="Yes"</formula>
    </cfRule>
  </conditionalFormatting>
  <conditionalFormatting sqref="C28">
    <cfRule type="expression" dxfId="128" priority="37" stopIfTrue="1">
      <formula>$C$19="No"</formula>
    </cfRule>
  </conditionalFormatting>
  <conditionalFormatting sqref="D28:D29">
    <cfRule type="expression" dxfId="127" priority="23" stopIfTrue="1">
      <formula>$C$19="No"</formula>
    </cfRule>
  </conditionalFormatting>
  <conditionalFormatting sqref="D40:D41">
    <cfRule type="expression" dxfId="126" priority="8">
      <formula>$C$19="No"</formula>
    </cfRule>
  </conditionalFormatting>
  <conditionalFormatting sqref="F50:F61">
    <cfRule type="expression" dxfId="125" priority="42" stopIfTrue="1">
      <formula>$C$14=""</formula>
    </cfRule>
  </conditionalFormatting>
  <conditionalFormatting sqref="F63">
    <cfRule type="expression" dxfId="124" priority="16" stopIfTrue="1">
      <formula>$C$14=""</formula>
    </cfRule>
  </conditionalFormatting>
  <conditionalFormatting sqref="F67">
    <cfRule type="expression" dxfId="123" priority="1" stopIfTrue="1">
      <formula>$C$14=""</formula>
    </cfRule>
  </conditionalFormatting>
  <conditionalFormatting sqref="F49:H49">
    <cfRule type="expression" dxfId="122" priority="38" stopIfTrue="1">
      <formula>$C$14=""</formula>
    </cfRule>
  </conditionalFormatting>
  <conditionalFormatting sqref="G50:G61">
    <cfRule type="expression" dxfId="121" priority="40" stopIfTrue="1">
      <formula>$C$15=""</formula>
    </cfRule>
  </conditionalFormatting>
  <conditionalFormatting sqref="G63">
    <cfRule type="expression" dxfId="120" priority="17" stopIfTrue="1">
      <formula>$C$15=""</formula>
    </cfRule>
  </conditionalFormatting>
  <conditionalFormatting sqref="G67">
    <cfRule type="expression" dxfId="119" priority="2" stopIfTrue="1">
      <formula>$C$15=""</formula>
    </cfRule>
  </conditionalFormatting>
  <conditionalFormatting sqref="G36:H40">
    <cfRule type="expression" dxfId="118" priority="4" stopIfTrue="1">
      <formula>$C$13="Cook"</formula>
    </cfRule>
    <cfRule type="expression" dxfId="117" priority="5" stopIfTrue="1">
      <formula>$C$14="Cook"</formula>
    </cfRule>
    <cfRule type="expression" dxfId="116" priority="6" stopIfTrue="1">
      <formula>$C$15="Cook"</formula>
    </cfRule>
    <cfRule type="expression" dxfId="115" priority="7" stopIfTrue="1">
      <formula>$C$16="Cook"</formula>
    </cfRule>
  </conditionalFormatting>
  <conditionalFormatting sqref="H50:H61">
    <cfRule type="expression" dxfId="114" priority="41" stopIfTrue="1">
      <formula>$C$16=""</formula>
    </cfRule>
  </conditionalFormatting>
  <conditionalFormatting sqref="H63">
    <cfRule type="expression" dxfId="113" priority="18" stopIfTrue="1">
      <formula>$C$16=""</formula>
    </cfRule>
  </conditionalFormatting>
  <conditionalFormatting sqref="H67">
    <cfRule type="expression" dxfId="112" priority="3" stopIfTrue="1">
      <formula>$C$16=""</formula>
    </cfRule>
  </conditionalFormatting>
  <dataValidations count="3">
    <dataValidation type="list" showInputMessage="1" showErrorMessage="1" error="Please input only Yes or No" prompt="Is the District subject to PTELL - Tax Cap?" sqref="C19" xr:uid="{00000000-0002-0000-0200-000000000000}">
      <formula1>$AB$7:$AB$8</formula1>
    </dataValidation>
    <dataValidation type="list" showInputMessage="1" showErrorMessage="1" error="Please input only Yes or No" prompt="This determines individual fund maximums on the Calculations and Extension tabs" sqref="C21" xr:uid="{00000000-0002-0000-0200-000001000000}">
      <formula1>$AB$7:$AB$8</formula1>
    </dataValidation>
    <dataValidation type="list" showInputMessage="1" showErrorMessage="1" error="Please input only Yes or No" sqref="C32" xr:uid="{E2472654-0762-42E2-8811-C6A136C739EE}">
      <formula1>$AB$7:$AB$8</formula1>
    </dataValidation>
  </dataValidations>
  <hyperlinks>
    <hyperlink ref="B3" r:id="rId1" xr:uid="{5820ADEB-7B13-4B36-8B6E-FB95899394E6}"/>
    <hyperlink ref="B5" r:id="rId2" xr:uid="{3C1B947E-3752-4035-9DEE-F440E9D0D516}"/>
    <hyperlink ref="B4" r:id="rId3" xr:uid="{94A722FA-1009-4CAE-8EFE-222788187A26}"/>
  </hyperlinks>
  <pageMargins left="0.5" right="0.5" top="0.5" bottom="0.5" header="0.5" footer="0.5"/>
  <pageSetup scale="70" orientation="portrait" r:id="rId4"/>
  <headerFooter alignWithMargins="0"/>
  <rowBreaks count="1" manualBreakCount="1">
    <brk id="71" max="16383" man="1"/>
  </rowBreaks>
  <ignoredErrors>
    <ignoredError sqref="E63:H63" unlockedFormula="1"/>
    <ignoredError sqref="C41" evalErro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40"/>
  <sheetViews>
    <sheetView showGridLines="0" zoomScaleNormal="100" workbookViewId="0">
      <selection activeCell="G1" sqref="G1"/>
    </sheetView>
  </sheetViews>
  <sheetFormatPr defaultColWidth="0" defaultRowHeight="13" zeroHeight="1" x14ac:dyDescent="0.3"/>
  <cols>
    <col min="1" max="1" width="38.54296875" style="1" customWidth="1"/>
    <col min="2" max="2" width="18.1796875" style="1" customWidth="1"/>
    <col min="3" max="3" width="15.453125" style="1" customWidth="1"/>
    <col min="4" max="4" width="23" style="1" bestFit="1" customWidth="1"/>
    <col min="5" max="5" width="1.54296875" style="1" customWidth="1"/>
    <col min="6" max="6" width="21.81640625" style="1" customWidth="1"/>
    <col min="7" max="7" width="19.1796875" style="1" customWidth="1"/>
    <col min="8" max="8" width="19" style="1" customWidth="1"/>
    <col min="9" max="9" width="2.81640625" style="1" customWidth="1"/>
    <col min="10" max="10" width="19" style="1" customWidth="1"/>
    <col min="11" max="12" width="11.81640625" style="1" customWidth="1"/>
    <col min="13" max="13" width="0.81640625" style="1" customWidth="1"/>
    <col min="14" max="16384" width="0" style="1" hidden="1"/>
  </cols>
  <sheetData>
    <row r="1" spans="1:12" ht="15.75" customHeight="1" thickBot="1" x14ac:dyDescent="0.35">
      <c r="H1" s="49" t="s">
        <v>33</v>
      </c>
      <c r="J1" s="293" t="s">
        <v>32</v>
      </c>
      <c r="K1" s="293"/>
      <c r="L1" s="293"/>
    </row>
    <row r="2" spans="1:12" ht="15.75" customHeight="1" x14ac:dyDescent="0.35">
      <c r="A2" s="283" t="str">
        <f>Input!$C$9&amp;" LEVY CALCULATION PAGE "</f>
        <v xml:space="preserve">2025 LEVY CALCULATION PAGE </v>
      </c>
      <c r="B2" s="283"/>
      <c r="F2" s="2"/>
      <c r="G2" s="2" t="s">
        <v>46</v>
      </c>
      <c r="H2" s="91">
        <f>Input!$C$28</f>
        <v>2.9000000000000001E-2</v>
      </c>
      <c r="J2" s="274" t="s">
        <v>30</v>
      </c>
      <c r="K2" s="275"/>
      <c r="L2" s="276"/>
    </row>
    <row r="3" spans="1:12" ht="15.75" customHeight="1" x14ac:dyDescent="0.3">
      <c r="F3" s="48"/>
      <c r="G3" s="2" t="str">
        <f>"Actual Total EAV for "&amp;Input!C9-1&amp;" "</f>
        <v xml:space="preserve">Actual Total EAV for 2024 </v>
      </c>
      <c r="H3" s="53">
        <f>Input!$C$30</f>
        <v>0</v>
      </c>
      <c r="J3" s="277" t="s">
        <v>31</v>
      </c>
      <c r="K3" s="278"/>
      <c r="L3" s="279"/>
    </row>
    <row r="4" spans="1:12" ht="15.5" thickBot="1" x14ac:dyDescent="0.35">
      <c r="F4" s="2"/>
      <c r="I4" s="50"/>
      <c r="J4" s="280" t="s">
        <v>35</v>
      </c>
      <c r="K4" s="281"/>
      <c r="L4" s="282"/>
    </row>
    <row r="5" spans="1:12" ht="15.75" customHeight="1" x14ac:dyDescent="0.3">
      <c r="A5" s="289" t="s">
        <v>5</v>
      </c>
      <c r="B5" s="284" t="s">
        <v>7</v>
      </c>
      <c r="C5" s="284"/>
      <c r="D5" s="284"/>
      <c r="F5" s="2"/>
      <c r="G5" s="2" t="str">
        <f>"Estimated Existing EAV % change for "&amp;Input!C9&amp;" "</f>
        <v xml:space="preserve">Estimated Existing EAV % change for 2025 </v>
      </c>
      <c r="H5" s="91">
        <f>IF(Input!$C$19="Yes",Input!$C$34,Input!$C$41)</f>
        <v>0</v>
      </c>
      <c r="I5" s="50"/>
    </row>
    <row r="6" spans="1:12" ht="15.75" customHeight="1" x14ac:dyDescent="0.3">
      <c r="A6" s="289"/>
      <c r="B6" s="285" t="s">
        <v>29</v>
      </c>
      <c r="C6" s="285"/>
      <c r="D6" s="285"/>
      <c r="F6" s="2"/>
      <c r="G6" s="2" t="str">
        <f>"Estimated Existing EAV Value for "&amp;Input!C9&amp;" "</f>
        <v xml:space="preserve">Estimated Existing EAV Value for 2025 </v>
      </c>
      <c r="H6" s="53">
        <f>H3*(1+H5)</f>
        <v>0</v>
      </c>
      <c r="I6" s="50"/>
    </row>
    <row r="7" spans="1:12" ht="15.75" customHeight="1" x14ac:dyDescent="0.3">
      <c r="F7" s="48"/>
      <c r="G7" s="48"/>
    </row>
    <row r="8" spans="1:12" ht="15" x14ac:dyDescent="0.3">
      <c r="F8" s="2"/>
      <c r="G8" s="2" t="str">
        <f>"Estimated New Property for "&amp;Input!C9&amp;" "</f>
        <v xml:space="preserve">Estimated New Property for 2025 </v>
      </c>
      <c r="H8" s="53">
        <f>IF(Input!$C$19="No",0,Input!$C$38)</f>
        <v>0</v>
      </c>
    </row>
    <row r="9" spans="1:12" ht="15" x14ac:dyDescent="0.3">
      <c r="A9" s="5" t="s">
        <v>54</v>
      </c>
      <c r="B9" s="95" t="e">
        <f>IF(Input!C19="Yes",Input!D63*(1+MIN(0.05,Input!$C$28))/(Input!$C$40-Input!C38)*100,"N/A")</f>
        <v>#DIV/0!</v>
      </c>
      <c r="C9" s="6"/>
    </row>
    <row r="10" spans="1:12" ht="15" x14ac:dyDescent="0.3">
      <c r="A10" s="5" t="s">
        <v>55</v>
      </c>
      <c r="B10" s="63" t="e">
        <f>IF(Input!C19="Yes",(B9*Input!C40)/100,"N/A")</f>
        <v>#DIV/0!</v>
      </c>
      <c r="C10" s="7"/>
      <c r="F10" s="2"/>
      <c r="G10" s="2" t="str">
        <f>"Estimated Total EAV for "&amp;Input!C9&amp;" "</f>
        <v xml:space="preserve">Estimated Total EAV for 2025 </v>
      </c>
      <c r="H10" s="92">
        <f>Input!$C$40</f>
        <v>0</v>
      </c>
      <c r="I10" s="50" t="s">
        <v>36</v>
      </c>
    </row>
    <row r="11" spans="1:12" ht="15" x14ac:dyDescent="0.3">
      <c r="F11" s="2"/>
      <c r="G11" s="2" t="str">
        <f>"Estimated Total EAV % change for "&amp;Input!C9&amp;" "</f>
        <v xml:space="preserve">Estimated Total EAV % change for 2025 </v>
      </c>
      <c r="H11" s="90" t="e">
        <f>Input!$C$41</f>
        <v>#DIV/0!</v>
      </c>
      <c r="I11" s="50" t="s">
        <v>36</v>
      </c>
    </row>
    <row r="12" spans="1:12" ht="12.75" customHeight="1" x14ac:dyDescent="0.3">
      <c r="F12" s="288" t="str">
        <f>IF(Input!C19="Yes","Weighted Extension Based on Prior Year Extension","Individual Fund Estimated Maximum Extension")</f>
        <v>Weighted Extension Based on Prior Year Extension</v>
      </c>
      <c r="G12" s="288" t="str">
        <f>IF(Input!C19="Yes","Levy Amount $","Levy Amount $")</f>
        <v>Levy Amount $</v>
      </c>
      <c r="H12" s="286" t="s">
        <v>94</v>
      </c>
    </row>
    <row r="13" spans="1:12" ht="36" customHeight="1" x14ac:dyDescent="0.3">
      <c r="B13" s="8" t="s">
        <v>53</v>
      </c>
      <c r="C13" s="8" t="s">
        <v>81</v>
      </c>
      <c r="D13" s="8" t="str">
        <f>IF(Input!$C$21="no","Individual Fund Estimated Maximum Extension","Individual Fund Estimated Maximum Extension using Prior Year EAV")</f>
        <v>Individual Fund Estimated Maximum Extension</v>
      </c>
      <c r="F13" s="287"/>
      <c r="G13" s="287"/>
      <c r="H13" s="287"/>
      <c r="J13" s="9" t="s">
        <v>95</v>
      </c>
      <c r="K13" s="288" t="s">
        <v>83</v>
      </c>
      <c r="L13" s="288"/>
    </row>
    <row r="14" spans="1:12" ht="15" x14ac:dyDescent="0.3">
      <c r="A14" s="75" t="str">
        <f>Input!B50</f>
        <v xml:space="preserve">Corporate </v>
      </c>
      <c r="B14" s="59">
        <f>Input!D50</f>
        <v>0</v>
      </c>
      <c r="C14" s="210">
        <f>Input!C50</f>
        <v>0</v>
      </c>
      <c r="D14" s="59">
        <f>IF(Input!$C$21="no",C14*Input!$C$40,C14*($H$3+$H$8))/100</f>
        <v>0</v>
      </c>
      <c r="F14" s="59" t="e">
        <f>IF(Input!$C$19="Yes",B14/$B$28*$B$10,D14)</f>
        <v>#DIV/0!</v>
      </c>
      <c r="G14" s="55"/>
      <c r="H14" s="65"/>
      <c r="J14" s="59" t="e">
        <f>ROUNDUP(IF(G14="",F14*(1+H14),G14*(1+H14)),0)</f>
        <v>#DIV/0!</v>
      </c>
      <c r="K14" s="290" t="str">
        <f>IF(Input!$C$19="Yes","",IF(J14&gt;=D14,"YES","NO"))</f>
        <v/>
      </c>
      <c r="L14" s="291"/>
    </row>
    <row r="15" spans="1:12" ht="15" x14ac:dyDescent="0.3">
      <c r="A15" s="75" t="str">
        <f>Input!B51</f>
        <v xml:space="preserve">Working Cash Funds </v>
      </c>
      <c r="B15" s="59">
        <f>Input!D51</f>
        <v>0</v>
      </c>
      <c r="C15" s="210">
        <f>Input!C51</f>
        <v>0</v>
      </c>
      <c r="D15" s="59">
        <f>IF(Input!$C$21="no",C15*Input!$C$40,C15*($H$3+$H$8))/100</f>
        <v>0</v>
      </c>
      <c r="F15" s="59" t="e">
        <f>IF(Input!$C$19="Yes",B15/$B$28*$B$10,D15)</f>
        <v>#DIV/0!</v>
      </c>
      <c r="G15" s="55"/>
      <c r="H15" s="65"/>
      <c r="J15" s="59" t="e">
        <f>ROUNDUP(IF(G15="",F15*(1+H15),G15*(1+H15)),0)</f>
        <v>#DIV/0!</v>
      </c>
      <c r="K15" s="290" t="str">
        <f>IF(Input!$C$19="Yes","",IF(J15&gt;=D15,"YES","NO"))</f>
        <v/>
      </c>
      <c r="L15" s="291"/>
    </row>
    <row r="16" spans="1:12" ht="15" x14ac:dyDescent="0.3">
      <c r="A16" s="75" t="str">
        <f>Input!B52</f>
        <v xml:space="preserve">Audit </v>
      </c>
      <c r="B16" s="59">
        <f>Input!D52</f>
        <v>0</v>
      </c>
      <c r="C16" s="210">
        <f>Input!C52</f>
        <v>0</v>
      </c>
      <c r="D16" s="59">
        <f>IF(Input!$C$21="no",C16*Input!$C$40,C16*($H$3+$H$8))/100</f>
        <v>0</v>
      </c>
      <c r="F16" s="59" t="e">
        <f>IF(Input!$C$19="Yes",B16/$B$28*$B$10,D16)</f>
        <v>#DIV/0!</v>
      </c>
      <c r="G16" s="55"/>
      <c r="H16" s="65"/>
      <c r="J16" s="59" t="e">
        <f>ROUNDUP(IF(G16="",F16*(1+H16),G16*(1+H16)),0)</f>
        <v>#DIV/0!</v>
      </c>
      <c r="K16" s="290" t="str">
        <f>IF(Input!$C$19="Yes","",IF(J16&gt;=D16,"YES","NO"))</f>
        <v/>
      </c>
      <c r="L16" s="291"/>
    </row>
    <row r="17" spans="1:12" ht="15" x14ac:dyDescent="0.3">
      <c r="A17" s="75" t="str">
        <f>Input!B53</f>
        <v xml:space="preserve">Municipal Retirement </v>
      </c>
      <c r="B17" s="59">
        <f>Input!D53</f>
        <v>0</v>
      </c>
      <c r="C17" s="210">
        <f>Input!C53</f>
        <v>0</v>
      </c>
      <c r="D17" s="211" t="str">
        <f>IF(Input!C19="Yes","$0.00 ","Input in Manual Override")</f>
        <v xml:space="preserve">$0.00 </v>
      </c>
      <c r="F17" s="59" t="e">
        <f>IF(Input!$C$19="Yes",B17/$B$28*$B$10,"Levy Amount $ Required")</f>
        <v>#DIV/0!</v>
      </c>
      <c r="G17" s="55"/>
      <c r="H17" s="65"/>
      <c r="J17" s="59" t="e">
        <f t="shared" ref="J17:J21" si="0">ROUND(IF(G17="",F17*(1+H17),G17*(1+H17)),0)</f>
        <v>#DIV/0!</v>
      </c>
      <c r="K17" s="290" t="str">
        <f>IF(Input!$C$19="Yes"," ","N/A")</f>
        <v xml:space="preserve"> </v>
      </c>
      <c r="L17" s="291"/>
    </row>
    <row r="18" spans="1:12" ht="15" x14ac:dyDescent="0.3">
      <c r="A18" s="75" t="str">
        <f>Input!B54</f>
        <v xml:space="preserve">Unemployment Insurance </v>
      </c>
      <c r="B18" s="59">
        <f>Input!D54</f>
        <v>0</v>
      </c>
      <c r="C18" s="210">
        <f>Input!C54</f>
        <v>0</v>
      </c>
      <c r="D18" s="211" t="str">
        <f>IF(Input!C20="Yes","$0.00 ","Input in Manual Override")</f>
        <v>Input in Manual Override</v>
      </c>
      <c r="F18" s="59" t="e">
        <f>IF(Input!$C$19="Yes",B18/$B$28*$B$10,"Levy Amount $ Required")</f>
        <v>#DIV/0!</v>
      </c>
      <c r="G18" s="55"/>
      <c r="H18" s="65"/>
      <c r="J18" s="59" t="e">
        <f t="shared" si="0"/>
        <v>#DIV/0!</v>
      </c>
      <c r="K18" s="290"/>
      <c r="L18" s="291"/>
    </row>
    <row r="19" spans="1:12" ht="15" x14ac:dyDescent="0.3">
      <c r="A19" s="75" t="str">
        <f>Input!B55</f>
        <v xml:space="preserve">Workman's Compensation </v>
      </c>
      <c r="B19" s="59">
        <f>Input!D55</f>
        <v>0</v>
      </c>
      <c r="C19" s="210">
        <f>Input!C55</f>
        <v>0</v>
      </c>
      <c r="D19" s="211" t="str">
        <f>IF(Input!C21="Yes","$0.00 ","Input in Manual Override")</f>
        <v>Input in Manual Override</v>
      </c>
      <c r="F19" s="59" t="e">
        <f>IF(Input!$C$19="Yes",B19/$B$28*$B$10,"Levy Amount $ Required")</f>
        <v>#DIV/0!</v>
      </c>
      <c r="G19" s="55"/>
      <c r="H19" s="65"/>
      <c r="J19" s="59" t="e">
        <f t="shared" si="0"/>
        <v>#DIV/0!</v>
      </c>
      <c r="K19" s="290"/>
      <c r="L19" s="291"/>
    </row>
    <row r="20" spans="1:12" ht="15" x14ac:dyDescent="0.3">
      <c r="A20" s="75" t="str">
        <f>Input!B56</f>
        <v xml:space="preserve">Social Security </v>
      </c>
      <c r="B20" s="59">
        <f>Input!D56</f>
        <v>0</v>
      </c>
      <c r="C20" s="210">
        <f>Input!C56</f>
        <v>0</v>
      </c>
      <c r="D20" s="211" t="str">
        <f>IF(Input!C19="Yes","$0.00 ","Input in Manual Override")</f>
        <v xml:space="preserve">$0.00 </v>
      </c>
      <c r="F20" s="59" t="e">
        <f>IF(Input!$C$19="Yes",B20/$B$28*$B$10,"Levy Amount $ Required")</f>
        <v>#DIV/0!</v>
      </c>
      <c r="G20" s="55"/>
      <c r="H20" s="65"/>
      <c r="J20" s="59" t="e">
        <f t="shared" si="0"/>
        <v>#DIV/0!</v>
      </c>
      <c r="K20" s="290" t="str">
        <f>IF(Input!$C$19="Yes"," ","N/A")</f>
        <v xml:space="preserve"> </v>
      </c>
      <c r="L20" s="291"/>
    </row>
    <row r="21" spans="1:12" ht="15" x14ac:dyDescent="0.3">
      <c r="A21" s="75" t="str">
        <f>Input!B57</f>
        <v xml:space="preserve">Liability Insurance </v>
      </c>
      <c r="B21" s="59">
        <f>Input!D57</f>
        <v>0</v>
      </c>
      <c r="C21" s="210">
        <f>Input!C57</f>
        <v>0</v>
      </c>
      <c r="D21" s="211" t="str">
        <f>IF(Input!C19="Yes","$0.00 ","Input in Manual Override")</f>
        <v xml:space="preserve">$0.00 </v>
      </c>
      <c r="F21" s="59" t="e">
        <f>IF(Input!$C$19="Yes",B21/$B$28*$B$10,"Levy Amount $ Required")</f>
        <v>#DIV/0!</v>
      </c>
      <c r="G21" s="55"/>
      <c r="H21" s="65"/>
      <c r="J21" s="59" t="e">
        <f t="shared" si="0"/>
        <v>#DIV/0!</v>
      </c>
      <c r="K21" s="290" t="str">
        <f>IF(Input!$C$19="Yes"," ","N/A")</f>
        <v xml:space="preserve"> </v>
      </c>
      <c r="L21" s="291"/>
    </row>
    <row r="22" spans="1:12" ht="15" x14ac:dyDescent="0.3">
      <c r="A22" s="75" t="str">
        <f>Input!B58</f>
        <v xml:space="preserve">Buildings Equipment and Maintenance </v>
      </c>
      <c r="B22" s="59">
        <f>Input!D58</f>
        <v>0</v>
      </c>
      <c r="C22" s="210">
        <f>Input!C58</f>
        <v>0</v>
      </c>
      <c r="D22" s="59">
        <f>IF(Input!$C$21="no",C22*Input!$C$40,C22*($H$3+$H$8))/100</f>
        <v>0</v>
      </c>
      <c r="F22" s="59" t="e">
        <f>IF(Input!$C$19="Yes",B22/$B$28*$B$10,D22)</f>
        <v>#DIV/0!</v>
      </c>
      <c r="G22" s="55"/>
      <c r="H22" s="65"/>
      <c r="J22" s="59" t="e">
        <f>ROUNDUP(IF(G22="",F22*(1+H22),G22*(1+H22)),0)</f>
        <v>#DIV/0!</v>
      </c>
      <c r="K22" s="290" t="str">
        <f>IF(Input!$C$19="Yes","",IF(J22&gt;=D22,"YES","NO"))</f>
        <v/>
      </c>
      <c r="L22" s="291"/>
    </row>
    <row r="23" spans="1:12" ht="15" x14ac:dyDescent="0.3">
      <c r="A23" s="75" t="str">
        <f>Input!B59</f>
        <v xml:space="preserve">Custom 1 </v>
      </c>
      <c r="B23" s="59">
        <f>Input!D59</f>
        <v>0</v>
      </c>
      <c r="C23" s="210">
        <f>Input!C59</f>
        <v>0</v>
      </c>
      <c r="D23" s="59">
        <f>IF(Input!$C$21="no",C23*Input!$C$40,C23*($H$3+$H$8))/100</f>
        <v>0</v>
      </c>
      <c r="F23" s="59" t="e">
        <f>IF(Input!$C$19="Yes",B23/$B$28*$B$10,D23)</f>
        <v>#DIV/0!</v>
      </c>
      <c r="G23" s="55"/>
      <c r="H23" s="65"/>
      <c r="J23" s="59" t="e">
        <f t="shared" ref="J23:J24" si="1">ROUNDUP(IF(G23="",F23*(1+H23),G23*(1+H23)),0)</f>
        <v>#DIV/0!</v>
      </c>
      <c r="K23" s="290" t="str">
        <f>IF(Input!$C$19="Yes","",IF(J23&gt;=D23,"YES","NO"))</f>
        <v/>
      </c>
      <c r="L23" s="291"/>
    </row>
    <row r="24" spans="1:12" ht="15" x14ac:dyDescent="0.3">
      <c r="A24" s="75" t="str">
        <f>Input!B60</f>
        <v xml:space="preserve">Custom 2 </v>
      </c>
      <c r="B24" s="59">
        <f>Input!D60</f>
        <v>0</v>
      </c>
      <c r="C24" s="210">
        <f>Input!C60</f>
        <v>0</v>
      </c>
      <c r="D24" s="59">
        <f>IF(Input!$C$21="no",C24*Input!$C$40,C24*($H$3+$H$8))/100</f>
        <v>0</v>
      </c>
      <c r="F24" s="59" t="e">
        <f>IF(Input!$C$19="Yes",B24/$B$28*$B$10,D24)</f>
        <v>#DIV/0!</v>
      </c>
      <c r="G24" s="55"/>
      <c r="H24" s="65"/>
      <c r="J24" s="59" t="e">
        <f t="shared" si="1"/>
        <v>#DIV/0!</v>
      </c>
      <c r="K24" s="290" t="str">
        <f>IF(Input!$C$19="Yes","",IF(J24&gt;=D24,"YES","NO"))</f>
        <v/>
      </c>
      <c r="L24" s="291"/>
    </row>
    <row r="25" spans="1:12" ht="15" x14ac:dyDescent="0.3">
      <c r="A25" s="75" t="str">
        <f>Input!B61</f>
        <v xml:space="preserve">Custom 3 </v>
      </c>
      <c r="B25" s="59">
        <f>Input!D61</f>
        <v>0</v>
      </c>
      <c r="C25" s="210">
        <f>Input!C61</f>
        <v>0</v>
      </c>
      <c r="D25" s="59">
        <f>IF(Input!$C$21="no",C25*Input!$C$40,C25*($H$3+$H$8))/100</f>
        <v>0</v>
      </c>
      <c r="F25" s="59" t="e">
        <f>IF(Input!$C$19="Yes",B25/$B$28*$B$10,D25)</f>
        <v>#DIV/0!</v>
      </c>
      <c r="G25" s="55"/>
      <c r="H25" s="65"/>
      <c r="J25" s="59" t="e">
        <f>ROUNDUP(IF(G25="",F25*(1+H25),G25*(1+H25)),0)</f>
        <v>#DIV/0!</v>
      </c>
      <c r="K25" s="290" t="str">
        <f>IF(Input!$C$19="Yes","",IF(J25&gt;=D25,"YES","NO"))</f>
        <v/>
      </c>
      <c r="L25" s="291"/>
    </row>
    <row r="26" spans="1:12" s="73" customFormat="1" ht="8.25" customHeight="1" x14ac:dyDescent="0.3">
      <c r="A26" s="75"/>
      <c r="B26" s="122"/>
      <c r="C26" s="123"/>
      <c r="D26" s="122"/>
      <c r="F26" s="122"/>
      <c r="G26" s="124"/>
      <c r="H26" s="125"/>
      <c r="J26" s="122"/>
    </row>
    <row r="27" spans="1:12" ht="21" customHeight="1" thickBot="1" x14ac:dyDescent="0.35">
      <c r="B27" s="3"/>
      <c r="C27" s="3"/>
      <c r="K27" s="294" t="s">
        <v>6</v>
      </c>
      <c r="L27" s="294"/>
    </row>
    <row r="28" spans="1:12" ht="15.5" thickBot="1" x14ac:dyDescent="0.35">
      <c r="A28" s="2" t="str">
        <f>IF(Input!C19="Yes","Capped Extension ","Extension  ")</f>
        <v xml:space="preserve">Capped Extension </v>
      </c>
      <c r="B28" s="62">
        <f>SUM(B14:B25)</f>
        <v>0</v>
      </c>
      <c r="C28" s="128"/>
      <c r="D28" s="129">
        <f>SUM(D14:D25)</f>
        <v>0</v>
      </c>
      <c r="F28" s="66" t="e">
        <f>SUM(F14:F25)</f>
        <v>#DIV/0!</v>
      </c>
      <c r="G28" s="129">
        <f>SUM(G14:G27)</f>
        <v>0</v>
      </c>
      <c r="I28" s="2" t="str">
        <f>IF(Input!C19="Yes","Capped Levy ","District Levy ")</f>
        <v xml:space="preserve">Capped Levy </v>
      </c>
      <c r="J28" s="212" t="e">
        <f>SUM(J14:J25)</f>
        <v>#DIV/0!</v>
      </c>
      <c r="K28" s="213" t="e">
        <f>(J28+J32)/(B28+B32)-1</f>
        <v>#DIV/0!</v>
      </c>
      <c r="L28" s="121" t="e">
        <f>IF(K28&gt;0.05,"YES","NO")</f>
        <v>#DIV/0!</v>
      </c>
    </row>
    <row r="29" spans="1:12" ht="15.5" thickBot="1" x14ac:dyDescent="0.35">
      <c r="A29" s="2"/>
      <c r="J29" s="76"/>
      <c r="K29" s="292" t="s">
        <v>82</v>
      </c>
      <c r="L29" s="292"/>
    </row>
    <row r="30" spans="1:12" ht="15.5" thickBot="1" x14ac:dyDescent="0.35">
      <c r="A30" s="2"/>
      <c r="G30" s="73"/>
      <c r="H30" s="73"/>
      <c r="I30" s="75" t="e">
        <f>IF(J30&lt;0,"Levy Amount Below Estimated Extension ","Levy Amount Above Estimated Extension ")</f>
        <v>#DIV/0!</v>
      </c>
      <c r="J30" s="67" t="e">
        <f>IF(Input!C19="Yes",J28-B10,"N/A")</f>
        <v>#DIV/0!</v>
      </c>
    </row>
    <row r="31" spans="1:12" ht="15.5" hidden="1" thickBot="1" x14ac:dyDescent="0.35">
      <c r="A31" s="2"/>
      <c r="D31" s="2" t="s">
        <v>100</v>
      </c>
      <c r="F31" s="136">
        <v>0</v>
      </c>
      <c r="G31" s="127" t="str">
        <f>IF(F31&gt;4%," ALERT - Special Recreation Rate Can Not Exceed 4%","")</f>
        <v/>
      </c>
      <c r="H31" s="127"/>
      <c r="I31" s="127"/>
      <c r="J31" s="127"/>
    </row>
    <row r="32" spans="1:12" ht="15.5" hidden="1" thickBot="1" x14ac:dyDescent="0.35">
      <c r="A32" s="2" t="s">
        <v>97</v>
      </c>
      <c r="B32" s="66">
        <f>Input!D65</f>
        <v>0</v>
      </c>
      <c r="C32" s="50"/>
      <c r="D32" s="2" t="s">
        <v>101</v>
      </c>
      <c r="F32" s="64">
        <f>H10*(MIN(F31,4%))/100</f>
        <v>0</v>
      </c>
      <c r="G32" s="60"/>
      <c r="H32" s="52"/>
      <c r="I32" s="2"/>
      <c r="J32" s="67">
        <f>G32</f>
        <v>0</v>
      </c>
      <c r="K32" s="52"/>
    </row>
    <row r="33" spans="1:11" ht="19.5" customHeight="1" thickBot="1" x14ac:dyDescent="0.35">
      <c r="A33" s="2"/>
      <c r="G33" s="126"/>
    </row>
    <row r="34" spans="1:11" ht="15.5" thickBot="1" x14ac:dyDescent="0.35">
      <c r="A34" s="2" t="s">
        <v>85</v>
      </c>
      <c r="B34" s="62">
        <f>Input!D67</f>
        <v>0</v>
      </c>
      <c r="C34" s="10"/>
      <c r="F34" s="2" t="s">
        <v>56</v>
      </c>
      <c r="G34" s="60"/>
      <c r="H34" s="50"/>
      <c r="I34" s="2" t="s">
        <v>91</v>
      </c>
      <c r="J34" s="62">
        <f>G34</f>
        <v>0</v>
      </c>
      <c r="K34" s="213" t="e">
        <f>J34/B34-1</f>
        <v>#DIV/0!</v>
      </c>
    </row>
    <row r="35" spans="1:11" ht="15" x14ac:dyDescent="0.3">
      <c r="A35" s="2"/>
      <c r="B35" s="197"/>
      <c r="C35" s="4"/>
      <c r="D35" s="4"/>
      <c r="G35" s="126" t="s">
        <v>74</v>
      </c>
      <c r="I35" s="2"/>
      <c r="J35" s="76"/>
      <c r="K35" s="12"/>
    </row>
    <row r="36" spans="1:11" ht="15.5" thickBot="1" x14ac:dyDescent="0.35">
      <c r="A36" s="2"/>
      <c r="B36" s="196"/>
      <c r="C36" s="4"/>
      <c r="D36" s="4"/>
      <c r="G36" s="126"/>
      <c r="K36" s="12"/>
    </row>
    <row r="37" spans="1:11" ht="15.5" thickBot="1" x14ac:dyDescent="0.35">
      <c r="A37" s="2" t="s">
        <v>86</v>
      </c>
      <c r="B37" s="62">
        <f>B28+B34+B32</f>
        <v>0</v>
      </c>
      <c r="C37" s="10"/>
      <c r="I37" s="2" t="s">
        <v>57</v>
      </c>
      <c r="J37" s="62" t="e">
        <f>J28+J34+J32</f>
        <v>#DIV/0!</v>
      </c>
      <c r="K37" s="213" t="e">
        <f>J37/B37-1</f>
        <v>#DIV/0!</v>
      </c>
    </row>
    <row r="38" spans="1:11" ht="15" x14ac:dyDescent="0.3">
      <c r="C38" s="3"/>
      <c r="I38" s="2"/>
      <c r="J38" s="76"/>
    </row>
    <row r="39" spans="1:11" ht="4.5" customHeight="1" x14ac:dyDescent="0.3">
      <c r="C39" s="3"/>
    </row>
    <row r="40" spans="1:11" hidden="1" x14ac:dyDescent="0.3">
      <c r="C40" s="3"/>
    </row>
  </sheetData>
  <sheetProtection algorithmName="SHA-512" hashValue="qjdbj+PfJIYMF6zbk1+jn9dIMo27o+DXpB8p2fBbEdeXhlmZZYOo0QqsM2FehVMCKbBjZcu38E3AEKQhcW+rNw==" saltValue="C2cFlxKcLvbToi6nYaNq3w==" spinCount="100000" sheet="1" objects="1" scenarios="1"/>
  <mergeCells count="26">
    <mergeCell ref="K24:L24"/>
    <mergeCell ref="K29:L29"/>
    <mergeCell ref="J1:L1"/>
    <mergeCell ref="K27:L27"/>
    <mergeCell ref="K22:L22"/>
    <mergeCell ref="K25:L25"/>
    <mergeCell ref="K17:L17"/>
    <mergeCell ref="K20:L20"/>
    <mergeCell ref="K21:L21"/>
    <mergeCell ref="K13:L13"/>
    <mergeCell ref="K14:L14"/>
    <mergeCell ref="K15:L15"/>
    <mergeCell ref="K18:L18"/>
    <mergeCell ref="K19:L19"/>
    <mergeCell ref="K23:L23"/>
    <mergeCell ref="K16:L16"/>
    <mergeCell ref="B6:D6"/>
    <mergeCell ref="H12:H13"/>
    <mergeCell ref="F12:F13"/>
    <mergeCell ref="G12:G13"/>
    <mergeCell ref="A5:A6"/>
    <mergeCell ref="J2:L2"/>
    <mergeCell ref="J3:L3"/>
    <mergeCell ref="J4:L4"/>
    <mergeCell ref="A2:B2"/>
    <mergeCell ref="B5:D5"/>
  </mergeCells>
  <phoneticPr fontId="3" type="noConversion"/>
  <conditionalFormatting sqref="A5:B5 B6">
    <cfRule type="expression" dxfId="111" priority="84" stopIfTrue="1">
      <formula>$B$9="N/A"</formula>
    </cfRule>
  </conditionalFormatting>
  <conditionalFormatting sqref="A9:B10">
    <cfRule type="expression" dxfId="110" priority="85" stopIfTrue="1">
      <formula>$B$9="N/A"</formula>
    </cfRule>
  </conditionalFormatting>
  <conditionalFormatting sqref="G30:I30">
    <cfRule type="expression" dxfId="102" priority="71">
      <formula>$J$30&lt;0</formula>
    </cfRule>
  </conditionalFormatting>
  <conditionalFormatting sqref="G31:J31">
    <cfRule type="expression" dxfId="100" priority="3">
      <formula>$F$31&gt;4%</formula>
    </cfRule>
  </conditionalFormatting>
  <conditionalFormatting sqref="J30">
    <cfRule type="cellIs" dxfId="97" priority="82" stopIfTrue="1" operator="lessThan">
      <formula>0</formula>
    </cfRule>
  </conditionalFormatting>
  <conditionalFormatting sqref="K17:K19">
    <cfRule type="expression" dxfId="95" priority="9">
      <formula>$K$17="N/A"</formula>
    </cfRule>
  </conditionalFormatting>
  <conditionalFormatting sqref="K20">
    <cfRule type="expression" dxfId="94" priority="53">
      <formula>$K$20="N/A"</formula>
    </cfRule>
  </conditionalFormatting>
  <conditionalFormatting sqref="K21">
    <cfRule type="expression" dxfId="93" priority="52">
      <formula>$K$21="N/A"</formula>
    </cfRule>
  </conditionalFormatting>
  <conditionalFormatting sqref="K29">
    <cfRule type="expression" dxfId="92" priority="69">
      <formula>$L$28="No"</formula>
    </cfRule>
  </conditionalFormatting>
  <conditionalFormatting sqref="K14:L16 K22:L25">
    <cfRule type="expression" dxfId="91" priority="51">
      <formula>$K14="YES"</formula>
    </cfRule>
    <cfRule type="expression" dxfId="90" priority="62">
      <formula>$K14="NO"</formula>
    </cfRule>
  </conditionalFormatting>
  <conditionalFormatting sqref="L28">
    <cfRule type="cellIs" dxfId="89" priority="83" stopIfTrue="1" operator="equal">
      <formula>"YES"</formula>
    </cfRule>
  </conditionalFormatting>
  <pageMargins left="0.4" right="0.4" top="0.73" bottom="0.79" header="0.5" footer="0.49"/>
  <pageSetup scale="70" orientation="landscape" r:id="rId1"/>
  <headerFooter alignWithMargins="0"/>
  <ignoredErrors>
    <ignoredError sqref="D21" formula="1"/>
  </ignoredErrors>
  <extLst>
    <ext xmlns:x14="http://schemas.microsoft.com/office/spreadsheetml/2009/9/main" uri="{78C0D931-6437-407d-A8EE-F0AAD7539E65}">
      <x14:conditionalFormattings>
        <x14:conditionalFormatting xmlns:xm="http://schemas.microsoft.com/office/excel/2006/main">
          <x14:cfRule type="expression" priority="132" id="{8EFC974D-C4A9-4516-8B16-FB9DE2D29F54}">
            <xm:f>Input!#REF!="N/A"</xm:f>
            <x14:dxf>
              <fill>
                <patternFill>
                  <bgColor theme="1"/>
                </patternFill>
              </fill>
            </x14:dxf>
          </x14:cfRule>
          <xm:sqref>C17:C21</xm:sqref>
        </x14:conditionalFormatting>
        <x14:conditionalFormatting xmlns:xm="http://schemas.microsoft.com/office/excel/2006/main">
          <x14:cfRule type="expression" priority="72" id="{AFC2C999-DD89-4C2F-97EF-46D1B224C6D4}">
            <xm:f>Input!$C$19="Yes"</xm:f>
            <x14:dxf>
              <font>
                <color theme="0"/>
              </font>
              <fill>
                <patternFill>
                  <bgColor theme="0"/>
                </patternFill>
              </fill>
              <border>
                <left/>
                <right/>
                <top/>
                <bottom/>
                <vertical/>
                <horizontal/>
              </border>
            </x14:dxf>
          </x14:cfRule>
          <xm:sqref>D28</xm:sqref>
        </x14:conditionalFormatting>
        <x14:conditionalFormatting xmlns:xm="http://schemas.microsoft.com/office/excel/2006/main">
          <x14:cfRule type="expression" priority="64" id="{7CB6334F-FA46-45F7-BE39-DBC48A053A53}">
            <xm:f>Input!$C$19="No"</xm:f>
            <x14:dxf>
              <font>
                <color theme="0"/>
              </font>
              <fill>
                <patternFill>
                  <bgColor theme="0"/>
                </patternFill>
              </fill>
              <border>
                <left/>
                <right/>
                <top/>
                <bottom/>
                <vertical/>
                <horizontal/>
              </border>
            </x14:dxf>
          </x14:cfRule>
          <xm:sqref>F28</xm:sqref>
        </x14:conditionalFormatting>
        <x14:conditionalFormatting xmlns:xm="http://schemas.microsoft.com/office/excel/2006/main">
          <x14:cfRule type="expression" priority="2" id="{DB27CF73-9C9C-48B7-87FF-523DDF390DDF}">
            <xm:f>Input!$C$19="No"</xm:f>
            <x14:dxf>
              <font>
                <color theme="0"/>
              </font>
              <fill>
                <patternFill patternType="none">
                  <bgColor auto="1"/>
                </patternFill>
              </fill>
              <border>
                <left/>
                <right/>
                <top/>
                <bottom/>
                <vertical/>
                <horizontal/>
              </border>
            </x14:dxf>
          </x14:cfRule>
          <xm:sqref>F8:H8</xm:sqref>
        </x14:conditionalFormatting>
        <x14:conditionalFormatting xmlns:xm="http://schemas.microsoft.com/office/excel/2006/main">
          <x14:cfRule type="expression" priority="66" id="{656AB4A6-6A36-44E4-90CE-14540CD05FFC}">
            <xm:f>Input!$C$19="No"</xm:f>
            <x14:dxf>
              <font>
                <color theme="0"/>
              </font>
            </x14:dxf>
          </x14:cfRule>
          <xm:sqref>G2</xm:sqref>
        </x14:conditionalFormatting>
        <x14:conditionalFormatting xmlns:xm="http://schemas.microsoft.com/office/excel/2006/main">
          <x14:cfRule type="expression" priority="65" id="{9A6FF348-BDC9-4975-B2E6-12B961D4AA49}">
            <xm:f>Input!$C$19="Yes"</xm:f>
            <x14:dxf>
              <font>
                <color theme="0"/>
              </font>
              <fill>
                <patternFill>
                  <bgColor theme="0"/>
                </patternFill>
              </fill>
              <border>
                <left style="thin">
                  <color auto="1"/>
                </left>
                <right/>
                <top/>
                <bottom/>
                <vertical/>
                <horizontal/>
              </border>
            </x14:dxf>
          </x14:cfRule>
          <xm:sqref>G28</xm:sqref>
        </x14:conditionalFormatting>
        <x14:conditionalFormatting xmlns:xm="http://schemas.microsoft.com/office/excel/2006/main">
          <x14:cfRule type="expression" priority="20" id="{4EF76B04-FFE1-4582-B749-370F859FD5F0}">
            <xm:f>Input!$C$19="No"</xm:f>
            <x14:dxf>
              <font>
                <color theme="0"/>
              </font>
            </x14:dxf>
          </x14:cfRule>
          <xm:sqref>G33</xm:sqref>
        </x14:conditionalFormatting>
        <x14:conditionalFormatting xmlns:xm="http://schemas.microsoft.com/office/excel/2006/main">
          <x14:cfRule type="expression" priority="17" id="{8657D7A4-5B7D-4683-8935-5FD64BD09B82}">
            <xm:f>Input!$C$19="No"</xm:f>
            <x14:dxf>
              <font>
                <color theme="0"/>
              </font>
              <fill>
                <patternFill>
                  <bgColor theme="0"/>
                </patternFill>
              </fill>
              <border>
                <left/>
                <right/>
                <top/>
                <bottom/>
                <vertical/>
                <horizontal/>
              </border>
            </x14:dxf>
          </x14:cfRule>
          <xm:sqref>G30:J30</xm:sqref>
        </x14:conditionalFormatting>
        <x14:conditionalFormatting xmlns:xm="http://schemas.microsoft.com/office/excel/2006/main">
          <x14:cfRule type="expression" priority="67" id="{DB631823-708F-445F-8E75-C725E1CB2553}">
            <xm:f>Input!$C$19="No"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1" id="{514E4DA3-1FE2-4C52-ADF4-0F270D387B3D}">
            <xm:f>Input!$C$19="No"</xm:f>
            <x14:dxf>
              <font>
                <color theme="0"/>
              </font>
            </x14:dxf>
          </x14:cfRule>
          <xm:sqref>I10:I11</xm:sqref>
        </x14:conditionalFormatting>
        <x14:conditionalFormatting xmlns:xm="http://schemas.microsoft.com/office/excel/2006/main">
          <x14:cfRule type="expression" priority="22" id="{A33B5606-87D4-46CB-877A-21F30CD8BA09}">
            <xm:f>Input!$C$19="Yes"</xm:f>
            <x14:dxf>
              <font>
                <color theme="0"/>
              </font>
            </x14:dxf>
          </x14:cfRule>
          <xm:sqref>K13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5" x14ac:dyDescent="0.25"/>
  <sheetData>
    <row r="4" spans="1:11" s="36" customFormat="1" ht="18" x14ac:dyDescent="0.4">
      <c r="C4" s="37" t="s">
        <v>17</v>
      </c>
      <c r="D4" s="38"/>
      <c r="E4" s="38"/>
      <c r="F4" s="38"/>
      <c r="G4" s="38"/>
      <c r="H4" s="38"/>
      <c r="I4" s="38"/>
      <c r="J4" s="39"/>
      <c r="K4" s="39"/>
    </row>
    <row r="5" spans="1:11" s="26" customFormat="1" ht="17.5" x14ac:dyDescent="0.35">
      <c r="A5" s="25" t="s">
        <v>25</v>
      </c>
      <c r="C5" s="27"/>
      <c r="E5" s="28"/>
      <c r="F5" s="29"/>
      <c r="H5" s="29"/>
      <c r="I5" s="29"/>
    </row>
    <row r="6" spans="1:11" s="31" customFormat="1" ht="17.5" x14ac:dyDescent="0.35">
      <c r="A6" s="25" t="s">
        <v>18</v>
      </c>
      <c r="B6" s="30"/>
      <c r="C6" s="30"/>
      <c r="D6" s="30"/>
      <c r="E6" s="30"/>
      <c r="F6" s="30"/>
      <c r="G6" s="30"/>
    </row>
    <row r="7" spans="1:11" s="32" customFormat="1" ht="17.5" x14ac:dyDescent="0.35">
      <c r="A7" s="25" t="s">
        <v>19</v>
      </c>
    </row>
    <row r="8" spans="1:11" s="34" customFormat="1" ht="17.5" x14ac:dyDescent="0.35">
      <c r="A8" s="33" t="s">
        <v>21</v>
      </c>
    </row>
    <row r="9" spans="1:11" s="34" customFormat="1" ht="17.5" x14ac:dyDescent="0.35">
      <c r="A9" s="33" t="s">
        <v>22</v>
      </c>
    </row>
    <row r="10" spans="1:11" s="34" customFormat="1" ht="17.5" x14ac:dyDescent="0.35">
      <c r="A10" s="33" t="s">
        <v>23</v>
      </c>
    </row>
    <row r="11" spans="1:11" s="34" customFormat="1" ht="17.5" x14ac:dyDescent="0.35">
      <c r="A11" s="33" t="s">
        <v>20</v>
      </c>
      <c r="C11" s="35"/>
    </row>
    <row r="12" spans="1:11" s="32" customFormat="1" ht="17.5" x14ac:dyDescent="0.35">
      <c r="A12" s="33" t="s">
        <v>24</v>
      </c>
    </row>
    <row r="13" spans="1:11" x14ac:dyDescent="0.25">
      <c r="A13" s="24"/>
    </row>
    <row r="14" spans="1:11" ht="14.5" x14ac:dyDescent="0.25">
      <c r="A14" s="24"/>
      <c r="C14" s="19"/>
    </row>
    <row r="18" spans="3:9" s="36" customFormat="1" ht="18" x14ac:dyDescent="0.4">
      <c r="C18" s="40" t="s">
        <v>11</v>
      </c>
      <c r="D18" s="41"/>
      <c r="E18" s="41"/>
      <c r="F18" s="41"/>
      <c r="G18" s="41"/>
      <c r="H18" s="41"/>
      <c r="I18" s="41"/>
    </row>
    <row r="19" spans="3:9" ht="15.5" x14ac:dyDescent="0.35">
      <c r="C19" s="16" t="s">
        <v>12</v>
      </c>
      <c r="D19" s="17"/>
      <c r="E19" s="17"/>
      <c r="F19" s="17"/>
      <c r="G19" s="17"/>
    </row>
    <row r="28" spans="3:9" ht="14.5" x14ac:dyDescent="0.25">
      <c r="C28" s="20"/>
      <c r="D28" s="21"/>
    </row>
    <row r="29" spans="3:9" ht="14.5" x14ac:dyDescent="0.25">
      <c r="C29" s="20"/>
    </row>
    <row r="30" spans="3:9" ht="14.5" x14ac:dyDescent="0.25">
      <c r="C30" s="20"/>
    </row>
    <row r="31" spans="3:9" ht="14.5" x14ac:dyDescent="0.25">
      <c r="C31" s="20"/>
    </row>
    <row r="32" spans="3:9" ht="14.5" x14ac:dyDescent="0.25">
      <c r="C32" s="20"/>
    </row>
    <row r="33" spans="3:12" ht="14.5" x14ac:dyDescent="0.25">
      <c r="C33" s="20"/>
    </row>
    <row r="34" spans="3:12" ht="14.5" x14ac:dyDescent="0.25">
      <c r="C34" s="20"/>
    </row>
    <row r="44" spans="3:12" ht="15.5" x14ac:dyDescent="0.35">
      <c r="C44" s="22" t="s">
        <v>13</v>
      </c>
      <c r="D44" s="17"/>
      <c r="E44" s="17"/>
      <c r="F44" s="17"/>
      <c r="G44" s="17"/>
      <c r="H44" s="17"/>
      <c r="I44" s="17"/>
      <c r="J44" s="17"/>
      <c r="K44" s="17"/>
      <c r="L44" s="17"/>
    </row>
    <row r="45" spans="3:12" x14ac:dyDescent="0.25">
      <c r="C45" s="18" t="s">
        <v>14</v>
      </c>
    </row>
    <row r="46" spans="3:12" x14ac:dyDescent="0.25">
      <c r="C46" s="18" t="s">
        <v>15</v>
      </c>
    </row>
    <row r="93" spans="3:8" ht="15.5" x14ac:dyDescent="0.35">
      <c r="C93" s="16" t="s">
        <v>16</v>
      </c>
      <c r="D93" s="23"/>
      <c r="E93" s="23"/>
      <c r="F93" s="23"/>
      <c r="G93" s="17"/>
      <c r="H93" s="17"/>
    </row>
  </sheetData>
  <phoneticPr fontId="3"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923D-D840-4E79-A182-DF46F7998A23}">
  <sheetPr>
    <tabColor theme="4" tint="0.79998168889431442"/>
  </sheetPr>
  <dimension ref="A1:AD86"/>
  <sheetViews>
    <sheetView showGridLines="0" workbookViewId="0">
      <selection activeCell="B19" sqref="B19"/>
    </sheetView>
  </sheetViews>
  <sheetFormatPr defaultColWidth="9.1796875" defaultRowHeight="13" x14ac:dyDescent="0.3"/>
  <cols>
    <col min="1" max="1" width="44.81640625" style="138" bestFit="1" customWidth="1"/>
    <col min="2" max="2" width="16.54296875" style="138" customWidth="1"/>
    <col min="3" max="4" width="9.1796875" style="138"/>
    <col min="5" max="5" width="10" style="138" customWidth="1"/>
    <col min="6" max="6" width="10.81640625" style="138" customWidth="1"/>
    <col min="7" max="7" width="10" style="138" customWidth="1"/>
    <col min="8" max="8" width="2.81640625" style="138" customWidth="1"/>
    <col min="9" max="9" width="13" style="138" customWidth="1"/>
    <col min="10" max="10" width="10.54296875" style="138" customWidth="1"/>
    <col min="11" max="12" width="9.1796875" style="138"/>
    <col min="13" max="13" width="16.54296875" style="138" customWidth="1"/>
    <col min="14" max="14" width="7.453125" style="138" customWidth="1"/>
    <col min="15" max="15" width="13.81640625" style="138" customWidth="1"/>
    <col min="16" max="16" width="4.81640625" style="141" customWidth="1"/>
    <col min="17" max="30" width="9.1796875" style="141"/>
    <col min="31" max="16384" width="9.1796875" style="138"/>
  </cols>
  <sheetData>
    <row r="1" spans="1:28" ht="15.5" thickBot="1" x14ac:dyDescent="0.35">
      <c r="E1" s="139"/>
      <c r="F1" s="140" t="s">
        <v>32</v>
      </c>
      <c r="G1" s="139"/>
      <c r="H1" s="139"/>
    </row>
    <row r="2" spans="1:28" ht="17.5" x14ac:dyDescent="0.35">
      <c r="A2" s="295" t="str">
        <f>Input!$C$9&amp;" Taxpayer Impact Calculation Page"</f>
        <v>2025 Taxpayer Impact Calculation Page</v>
      </c>
      <c r="B2" s="295"/>
      <c r="E2" s="142"/>
      <c r="F2" s="143" t="s">
        <v>30</v>
      </c>
      <c r="G2" s="144"/>
      <c r="H2" s="139"/>
    </row>
    <row r="3" spans="1:28" x14ac:dyDescent="0.3">
      <c r="E3" s="145"/>
      <c r="F3" s="146" t="s">
        <v>31</v>
      </c>
      <c r="G3" s="147"/>
      <c r="H3" s="139"/>
      <c r="Z3" s="244"/>
      <c r="AA3" s="244"/>
      <c r="AB3" s="244"/>
    </row>
    <row r="4" spans="1:28" ht="15.5" thickBot="1" x14ac:dyDescent="0.35">
      <c r="B4" s="148" t="s">
        <v>106</v>
      </c>
      <c r="E4" s="149"/>
      <c r="F4" s="150" t="s">
        <v>35</v>
      </c>
      <c r="G4" s="151"/>
      <c r="H4" s="139"/>
      <c r="M4" s="152" t="s">
        <v>107</v>
      </c>
      <c r="Z4" s="244"/>
      <c r="AA4" s="244"/>
      <c r="AB4" s="244"/>
    </row>
    <row r="5" spans="1:28" x14ac:dyDescent="0.3">
      <c r="Z5" s="244"/>
      <c r="AA5" s="244"/>
      <c r="AB5" s="244"/>
    </row>
    <row r="6" spans="1:28" ht="15" x14ac:dyDescent="0.3">
      <c r="A6" s="148" t="str">
        <f>Input!B34</f>
        <v xml:space="preserve">Estimated Existing EAV % Change for 2025 </v>
      </c>
      <c r="B6" s="153">
        <f>Calculations!H5</f>
        <v>0</v>
      </c>
      <c r="L6" s="154" t="str">
        <f>(Input!$C$9-1)&amp; " Fair Cash / Market Value Home"</f>
        <v>2024 Fair Cash / Market Value Home</v>
      </c>
      <c r="M6" s="155"/>
      <c r="Q6" s="156"/>
      <c r="X6" s="157"/>
      <c r="Y6" s="157"/>
      <c r="Z6" s="157"/>
      <c r="AA6" s="157"/>
      <c r="AB6" s="244"/>
    </row>
    <row r="7" spans="1:28" ht="15" x14ac:dyDescent="0.3">
      <c r="A7" s="148" t="str">
        <f>"Estimated Existing EAV Value for "&amp; Input!C9&amp;" "</f>
        <v xml:space="preserve">Estimated Existing EAV Value for 2025 </v>
      </c>
      <c r="B7" s="158">
        <f>Calculations!H6</f>
        <v>0</v>
      </c>
      <c r="L7" s="154"/>
      <c r="M7" s="154"/>
      <c r="Q7" s="156"/>
      <c r="X7" s="157"/>
      <c r="Y7" s="157"/>
      <c r="Z7" s="157">
        <v>3.0163000000000002</v>
      </c>
      <c r="AA7" s="157"/>
      <c r="AB7" s="244"/>
    </row>
    <row r="8" spans="1:28" ht="15" x14ac:dyDescent="0.3">
      <c r="A8" s="159"/>
      <c r="B8" s="160"/>
      <c r="C8" s="161"/>
      <c r="L8" s="154" t="str">
        <f>"Estimated "&amp;Input!C9&amp;" Fair Cash Value Home"</f>
        <v>Estimated 2025 Fair Cash Value Home</v>
      </c>
      <c r="M8" s="158">
        <f>M6*(1+B6)</f>
        <v>0</v>
      </c>
      <c r="N8" s="162" t="s">
        <v>108</v>
      </c>
      <c r="O8" s="161"/>
      <c r="Q8" s="156"/>
      <c r="X8" s="157" t="s">
        <v>109</v>
      </c>
      <c r="Y8" s="163">
        <v>0.1</v>
      </c>
      <c r="Z8" s="157">
        <v>3.0354999999999999</v>
      </c>
      <c r="AA8" s="157">
        <v>10000</v>
      </c>
      <c r="AB8" s="244"/>
    </row>
    <row r="9" spans="1:28" ht="15" x14ac:dyDescent="0.3">
      <c r="A9" s="148" t="str">
        <f>Input!B38</f>
        <v xml:space="preserve">Estimated New Property for 2025 </v>
      </c>
      <c r="B9" s="158">
        <f>Calculations!H8</f>
        <v>0</v>
      </c>
      <c r="C9" s="161"/>
      <c r="L9" s="154"/>
      <c r="M9" s="154"/>
      <c r="N9" s="162"/>
      <c r="O9" s="161"/>
      <c r="Q9" s="156"/>
      <c r="X9" s="157" t="s">
        <v>110</v>
      </c>
      <c r="Y9" s="163">
        <f>((1/3)*100)%</f>
        <v>0.33333333333333326</v>
      </c>
      <c r="Z9" s="157">
        <v>1</v>
      </c>
      <c r="AA9" s="157">
        <v>8000</v>
      </c>
      <c r="AB9" s="244"/>
    </row>
    <row r="10" spans="1:28" ht="3" customHeight="1" x14ac:dyDescent="0.3">
      <c r="A10" s="148"/>
      <c r="B10" s="148"/>
      <c r="C10" s="161"/>
      <c r="L10" s="154"/>
      <c r="M10" s="154"/>
      <c r="N10" s="162"/>
      <c r="O10" s="161"/>
      <c r="Q10" s="156"/>
      <c r="X10" s="157"/>
      <c r="Y10" s="163"/>
      <c r="Z10" s="157"/>
      <c r="AA10" s="157"/>
      <c r="AB10" s="244"/>
    </row>
    <row r="11" spans="1:28" ht="15" x14ac:dyDescent="0.3">
      <c r="A11" s="148" t="str">
        <f>Input!B40</f>
        <v xml:space="preserve">Estimated Total EAV for 2025 </v>
      </c>
      <c r="B11" s="158">
        <f>IF(Input!$C$19="Yes",B7+B9,B7)</f>
        <v>0</v>
      </c>
      <c r="C11" s="162" t="s">
        <v>36</v>
      </c>
      <c r="L11" s="154" t="s">
        <v>111</v>
      </c>
      <c r="M11" s="158">
        <f>M8*N11</f>
        <v>0</v>
      </c>
      <c r="N11" s="164">
        <f>IF(Input!$C$13="Cook",'Tax Calculator - Calculations'!Y8,'Tax Calculator - Calculations'!Y9)</f>
        <v>0.33333333333333326</v>
      </c>
      <c r="O11" s="161"/>
      <c r="X11" s="157" t="s">
        <v>112</v>
      </c>
      <c r="Y11" s="163"/>
      <c r="Z11" s="157"/>
      <c r="AA11" s="157">
        <v>8000</v>
      </c>
      <c r="AB11" s="244"/>
    </row>
    <row r="12" spans="1:28" ht="15.75" customHeight="1" x14ac:dyDescent="0.3">
      <c r="B12" s="161"/>
      <c r="E12" s="199"/>
      <c r="L12" s="154" t="s">
        <v>113</v>
      </c>
      <c r="M12" s="158">
        <f>M11*N12</f>
        <v>0</v>
      </c>
      <c r="N12" s="165">
        <f>IF(Input!$C$13="Cook",'Tax Calculator - Calculations'!Z8,'Tax Calculator - Calculations'!Z9)</f>
        <v>1</v>
      </c>
      <c r="O12" s="161"/>
      <c r="X12" s="157" t="s">
        <v>114</v>
      </c>
      <c r="Y12" s="163"/>
      <c r="Z12" s="157"/>
      <c r="AA12" s="157">
        <v>8000</v>
      </c>
      <c r="AB12" s="244"/>
    </row>
    <row r="13" spans="1:28" ht="15" x14ac:dyDescent="0.3">
      <c r="A13" s="154" t="str">
        <f>Input!$C$9-1&amp;" Operating Rate"</f>
        <v>2024 Operating Rate</v>
      </c>
      <c r="B13" s="166" t="e">
        <f>(Input!D63/Input!C30)*100</f>
        <v>#DIV/0!</v>
      </c>
      <c r="O13" s="161"/>
      <c r="X13" s="157" t="s">
        <v>115</v>
      </c>
      <c r="Y13" s="163"/>
      <c r="Z13" s="157"/>
      <c r="AA13" s="157">
        <v>8000</v>
      </c>
      <c r="AB13" s="244"/>
    </row>
    <row r="14" spans="1:28" ht="15" x14ac:dyDescent="0.3">
      <c r="A14" s="154" t="str">
        <f>"Estimated "&amp;Input!$C$9&amp;" Operating Rate"</f>
        <v>Estimated 2025 Operating Rate</v>
      </c>
      <c r="B14" s="166" t="e">
        <f>IF(Input!C19="Yes",IF(Calculations!J28/'Tax Calculator - Calculations'!B11*100&gt;Calculations!B9,Calculations!B9,Calculations!J28/'Tax Calculator - Calculations'!B11*100),(IF(Calculations!J14&gt;Calculations!F14,Calculations!F14,Calculations!J14)+IF(Calculations!J15&gt;Calculations!F15,Calculations!F15,Calculations!J15)+IF(Calculations!J16&gt;Calculations!F16,Calculations!F16,Calculations!J16)+IF(Calculations!J22&gt;Calculations!F22,Calculations!F22,Calculations!J22)+IF(Calculations!J23&gt;Calculations!F23,Calculations!F23,Calculations!J23)+IF(Calculations!J24&gt;Calculations!F24,Calculations!F24,Calculations!J24)+IF(Calculations!J25&gt;Calculations!F25,Calculations!F25,Calculations!J25)+Calculations!J17+Calculations!J18+Calculations!J19+Calculations!J20+Calculations!J21)/B11*100)</f>
        <v>#DIV/0!</v>
      </c>
      <c r="C14" s="167"/>
      <c r="J14" s="161"/>
      <c r="K14" s="161"/>
      <c r="L14"/>
      <c r="M14"/>
      <c r="N14" s="296" t="s">
        <v>116</v>
      </c>
      <c r="O14" s="296"/>
      <c r="P14" s="169"/>
      <c r="X14" s="157" t="s">
        <v>117</v>
      </c>
      <c r="Y14" s="163"/>
      <c r="Z14" s="157"/>
      <c r="AA14" s="157">
        <v>8000</v>
      </c>
      <c r="AB14" s="244"/>
    </row>
    <row r="15" spans="1:28" ht="15.75" customHeight="1" thickBot="1" x14ac:dyDescent="0.35">
      <c r="A15" s="154" t="str">
        <f>"Estimated "&amp;Input!C9&amp;" Bond &amp; Interest Tax Rate"</f>
        <v>Estimated 2025 Bond &amp; Interest Tax Rate</v>
      </c>
      <c r="B15" s="166" t="e">
        <f>((Calculations!G34*(1+B17)/B11*100)+0.0000001)</f>
        <v>#DIV/0!</v>
      </c>
      <c r="C15" s="162" t="s">
        <v>118</v>
      </c>
      <c r="J15" s="161"/>
      <c r="K15" s="161"/>
      <c r="L15" s="154" t="s">
        <v>119</v>
      </c>
      <c r="M15" s="168">
        <f>IF(Input!$C$13="Cook",'Tax Calculator - Calculations'!AA8,IF(Input!$C$13="DuPage",'Tax Calculator - Calculations'!AA9,IF(Input!C13="Lake",'Tax Calculator - Calculations'!AA11,IF(Input!C13="McHenry",'Tax Calculator - Calculations'!AA12,IF(Input!C13="Kane",'Tax Calculator - Calculations'!AA13,IF(Input!C13="Will",'Tax Calculator - Calculations'!AA14,AA15))))))</f>
        <v>6000</v>
      </c>
      <c r="N15" s="296"/>
      <c r="O15" s="296"/>
      <c r="P15" s="169"/>
      <c r="X15" s="157"/>
      <c r="Y15" s="157"/>
      <c r="Z15" s="157"/>
      <c r="AA15" s="157">
        <v>6000</v>
      </c>
      <c r="AB15" s="244"/>
    </row>
    <row r="16" spans="1:28" ht="15" x14ac:dyDescent="0.3">
      <c r="A16" s="154"/>
      <c r="B16" s="154"/>
      <c r="C16" s="170"/>
      <c r="D16" s="170"/>
      <c r="E16" s="297" t="s">
        <v>126</v>
      </c>
      <c r="F16" s="298"/>
      <c r="G16" s="299"/>
      <c r="M16" s="161"/>
      <c r="N16" s="171"/>
      <c r="O16" s="171"/>
    </row>
    <row r="17" spans="1:15" ht="15" x14ac:dyDescent="0.3">
      <c r="A17" s="154" t="s">
        <v>120</v>
      </c>
      <c r="B17" s="172"/>
      <c r="D17" s="170"/>
      <c r="E17" s="300"/>
      <c r="F17" s="301"/>
      <c r="G17" s="302"/>
      <c r="L17" s="154" t="s">
        <v>121</v>
      </c>
      <c r="M17" s="168">
        <f>M12-M15</f>
        <v>-6000</v>
      </c>
      <c r="N17" s="173"/>
      <c r="O17" s="174"/>
    </row>
    <row r="18" spans="1:15" ht="15.75" customHeight="1" thickBot="1" x14ac:dyDescent="0.35">
      <c r="E18" s="303"/>
      <c r="F18" s="304"/>
      <c r="G18" s="305"/>
      <c r="M18" s="161"/>
      <c r="N18" s="161"/>
      <c r="O18" s="161"/>
    </row>
    <row r="19" spans="1:15" ht="15" x14ac:dyDescent="0.3">
      <c r="A19" s="154" t="s">
        <v>122</v>
      </c>
      <c r="B19" s="175"/>
      <c r="C19" s="170" t="s">
        <v>123</v>
      </c>
      <c r="L19" s="154" t="str">
        <f>"Estimated Change in Tax Payment for "&amp; Input!C9</f>
        <v>Estimated Change in Tax Payment for 2025</v>
      </c>
      <c r="M19" s="168" t="e">
        <f>(M17*(B24)/100)-(((((M6*N11)*IF(Input!C13="Cook",Z7,Z9))-M15)*(B25)/100))</f>
        <v>#DIV/0!</v>
      </c>
      <c r="N19" s="161"/>
      <c r="O19" s="161"/>
    </row>
    <row r="20" spans="1:15" ht="15" x14ac:dyDescent="0.3">
      <c r="A20" s="154" t="s">
        <v>124</v>
      </c>
      <c r="B20" s="166" t="e">
        <f>((B19*(1+B17))/B11*100)</f>
        <v>#DIV/0!</v>
      </c>
      <c r="C20" s="170" t="s">
        <v>125</v>
      </c>
    </row>
    <row r="21" spans="1:15" ht="15.75" customHeight="1" x14ac:dyDescent="0.3">
      <c r="A21" s="154"/>
      <c r="B21" s="154"/>
      <c r="C21" s="170"/>
      <c r="I21" s="176" t="str">
        <f>"Note, the calculator is intended to estimate the "&amp;Input!C11&amp;" portion of the tax bill."</f>
        <v>Note, the calculator is intended to estimate the  portion of the tax bill.</v>
      </c>
      <c r="J21" s="177"/>
      <c r="K21" s="177"/>
      <c r="L21" s="177"/>
      <c r="M21" s="177"/>
      <c r="N21" s="177"/>
    </row>
    <row r="22" spans="1:15" ht="15.75" customHeight="1" x14ac:dyDescent="0.3">
      <c r="A22" s="154" t="str">
        <f>"Net "&amp;Input!$C$9&amp;" B&amp;I Tax Rate"</f>
        <v>Net 2025 B&amp;I Tax Rate</v>
      </c>
      <c r="B22" s="166" t="e">
        <f>(IF(B15&gt;B20,B15-B20,"Check Abatement"))</f>
        <v>#DIV/0!</v>
      </c>
      <c r="I22" s="306" t="s">
        <v>145</v>
      </c>
      <c r="J22" s="306"/>
      <c r="K22" s="306"/>
      <c r="L22" s="306"/>
      <c r="M22" s="306"/>
      <c r="N22" s="306"/>
      <c r="O22" s="306"/>
    </row>
    <row r="23" spans="1:15" ht="18.75" customHeight="1" x14ac:dyDescent="0.3">
      <c r="A23" s="154"/>
      <c r="B23" s="154"/>
      <c r="C23" s="170"/>
      <c r="I23" s="306"/>
      <c r="J23" s="306"/>
      <c r="K23" s="306"/>
      <c r="L23" s="306"/>
      <c r="M23" s="306"/>
      <c r="N23" s="306"/>
      <c r="O23" s="306"/>
    </row>
    <row r="24" spans="1:15" ht="15" x14ac:dyDescent="0.3">
      <c r="A24" s="5" t="str">
        <f>"Total "&amp;Input!$C$9&amp;" Tax Rate"</f>
        <v>Total 2025 Tax Rate</v>
      </c>
      <c r="B24" s="166" t="e">
        <f>B22+B14</f>
        <v>#DIV/0!</v>
      </c>
      <c r="I24" s="306"/>
      <c r="J24" s="306"/>
      <c r="K24" s="306"/>
      <c r="L24" s="306"/>
      <c r="M24" s="306"/>
      <c r="N24" s="306"/>
      <c r="O24" s="306"/>
    </row>
    <row r="25" spans="1:15" ht="15" x14ac:dyDescent="0.3">
      <c r="A25" s="154" t="s">
        <v>127</v>
      </c>
      <c r="B25" s="166" t="e">
        <f>Input!D69/Input!C30*100</f>
        <v>#DIV/0!</v>
      </c>
      <c r="I25" s="178"/>
      <c r="J25" s="178"/>
      <c r="K25" s="178"/>
      <c r="L25" s="178"/>
      <c r="M25" s="178"/>
      <c r="N25" s="178"/>
      <c r="O25" s="178"/>
    </row>
    <row r="26" spans="1:15" ht="15" x14ac:dyDescent="0.3">
      <c r="A26" s="154"/>
      <c r="B26" s="154"/>
      <c r="I26" s="198"/>
      <c r="J26" s="198"/>
      <c r="K26" s="198"/>
      <c r="L26" s="198"/>
      <c r="M26" s="198"/>
      <c r="N26" s="198"/>
      <c r="O26" s="179"/>
    </row>
    <row r="27" spans="1:15" s="141" customFormat="1" x14ac:dyDescent="0.3"/>
    <row r="28" spans="1:15" s="141" customFormat="1" x14ac:dyDescent="0.3"/>
    <row r="29" spans="1:15" s="141" customFormat="1" x14ac:dyDescent="0.3"/>
    <row r="30" spans="1:15" s="141" customFormat="1" x14ac:dyDescent="0.3"/>
    <row r="31" spans="1:15" s="141" customFormat="1" x14ac:dyDescent="0.3"/>
    <row r="32" spans="1:15" s="141" customFormat="1" x14ac:dyDescent="0.3"/>
    <row r="33" s="141" customFormat="1" x14ac:dyDescent="0.3"/>
    <row r="34" s="141" customFormat="1" x14ac:dyDescent="0.3"/>
    <row r="35" s="141" customFormat="1" x14ac:dyDescent="0.3"/>
    <row r="36" s="141" customFormat="1" x14ac:dyDescent="0.3"/>
    <row r="37" s="141" customFormat="1" x14ac:dyDescent="0.3"/>
    <row r="38" s="141" customFormat="1" x14ac:dyDescent="0.3"/>
    <row r="39" s="141" customFormat="1" x14ac:dyDescent="0.3"/>
    <row r="40" s="141" customFormat="1" x14ac:dyDescent="0.3"/>
    <row r="41" s="141" customFormat="1" x14ac:dyDescent="0.3"/>
    <row r="42" s="141" customFormat="1" x14ac:dyDescent="0.3"/>
    <row r="43" s="141" customFormat="1" x14ac:dyDescent="0.3"/>
    <row r="44" s="141" customFormat="1" x14ac:dyDescent="0.3"/>
    <row r="45" s="141" customFormat="1" x14ac:dyDescent="0.3"/>
    <row r="46" s="141" customFormat="1" x14ac:dyDescent="0.3"/>
    <row r="47" s="141" customFormat="1" x14ac:dyDescent="0.3"/>
    <row r="48" s="141" customFormat="1" x14ac:dyDescent="0.3"/>
    <row r="49" s="141" customFormat="1" x14ac:dyDescent="0.3"/>
    <row r="50" s="141" customFormat="1" x14ac:dyDescent="0.3"/>
    <row r="51" s="141" customFormat="1" x14ac:dyDescent="0.3"/>
    <row r="52" s="141" customFormat="1" x14ac:dyDescent="0.3"/>
    <row r="53" s="141" customFormat="1" x14ac:dyDescent="0.3"/>
    <row r="54" s="141" customFormat="1" x14ac:dyDescent="0.3"/>
    <row r="55" s="141" customFormat="1" x14ac:dyDescent="0.3"/>
    <row r="56" s="141" customFormat="1" x14ac:dyDescent="0.3"/>
    <row r="57" s="141" customFormat="1" x14ac:dyDescent="0.3"/>
    <row r="58" s="141" customFormat="1" x14ac:dyDescent="0.3"/>
    <row r="59" s="141" customFormat="1" x14ac:dyDescent="0.3"/>
    <row r="60" s="141" customFormat="1" x14ac:dyDescent="0.3"/>
    <row r="61" s="141" customFormat="1" x14ac:dyDescent="0.3"/>
    <row r="62" s="141" customFormat="1" x14ac:dyDescent="0.3"/>
    <row r="63" s="141" customFormat="1" x14ac:dyDescent="0.3"/>
    <row r="64" s="141" customFormat="1" x14ac:dyDescent="0.3"/>
    <row r="65" s="141" customFormat="1" x14ac:dyDescent="0.3"/>
    <row r="66" s="141" customFormat="1" x14ac:dyDescent="0.3"/>
    <row r="67" s="141" customFormat="1" x14ac:dyDescent="0.3"/>
    <row r="68" s="141" customFormat="1" x14ac:dyDescent="0.3"/>
    <row r="69" s="141" customFormat="1" x14ac:dyDescent="0.3"/>
    <row r="70" s="141" customFormat="1" x14ac:dyDescent="0.3"/>
    <row r="71" s="141" customFormat="1" x14ac:dyDescent="0.3"/>
    <row r="72" s="141" customFormat="1" x14ac:dyDescent="0.3"/>
    <row r="73" s="141" customFormat="1" x14ac:dyDescent="0.3"/>
    <row r="74" s="141" customFormat="1" x14ac:dyDescent="0.3"/>
    <row r="75" s="141" customFormat="1" x14ac:dyDescent="0.3"/>
    <row r="76" s="141" customFormat="1" x14ac:dyDescent="0.3"/>
    <row r="77" s="141" customFormat="1" x14ac:dyDescent="0.3"/>
    <row r="78" s="141" customFormat="1" x14ac:dyDescent="0.3"/>
    <row r="79" s="141" customFormat="1" x14ac:dyDescent="0.3"/>
    <row r="80" s="141" customFormat="1" x14ac:dyDescent="0.3"/>
    <row r="81" spans="1:15" s="141" customFormat="1" x14ac:dyDescent="0.3"/>
    <row r="82" spans="1:15" s="141" customFormat="1" x14ac:dyDescent="0.3"/>
    <row r="83" spans="1:15" s="141" customFormat="1" x14ac:dyDescent="0.3"/>
    <row r="84" spans="1:15" s="141" customFormat="1" x14ac:dyDescent="0.3"/>
    <row r="85" spans="1:15" x14ac:dyDescent="0.3">
      <c r="A85" s="141"/>
      <c r="B85" s="141"/>
      <c r="C85" s="141"/>
      <c r="I85" s="141"/>
      <c r="J85" s="141"/>
      <c r="K85" s="141"/>
      <c r="L85" s="141"/>
      <c r="M85" s="141"/>
      <c r="N85" s="141"/>
      <c r="O85" s="141"/>
    </row>
    <row r="86" spans="1:15" x14ac:dyDescent="0.3">
      <c r="I86" s="141"/>
      <c r="J86" s="141"/>
      <c r="K86" s="141"/>
      <c r="L86" s="141"/>
      <c r="M86" s="141"/>
      <c r="N86" s="141"/>
      <c r="O86" s="141"/>
    </row>
  </sheetData>
  <sheetProtection algorithmName="SHA-512" hashValue="AqmhBVY3dqkEV8X8U4n6t9xbijCJt39jQKir3kUNt1kEP/Ph84an7WPcb86qGwn5M0+ZK0DN54oQMtYUq22TSA==" saltValue="ddfOoZjvvCun3EjCEBINTg==" spinCount="100000" sheet="1" objects="1" scenarios="1"/>
  <mergeCells count="4">
    <mergeCell ref="A2:B2"/>
    <mergeCell ref="N14:O15"/>
    <mergeCell ref="E16:G18"/>
    <mergeCell ref="I22:O24"/>
  </mergeCells>
  <conditionalFormatting sqref="A19:A26">
    <cfRule type="expression" dxfId="88" priority="1" stopIfTrue="1">
      <formula>$B$20="N/A"</formula>
    </cfRule>
  </conditionalFormatting>
  <conditionalFormatting sqref="L6:L12 M7 M9:M10 A13:A17 L15 B16 L17 B21 B23 B26">
    <cfRule type="expression" dxfId="84" priority="6" stopIfTrue="1">
      <formula>$B$20="N/A"</formula>
    </cfRule>
  </conditionalFormatting>
  <conditionalFormatting sqref="L19">
    <cfRule type="expression" dxfId="83" priority="5" stopIfTrue="1">
      <formula>$B$20="N/A"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expression" priority="3" id="{54309863-C4F0-4F47-A1F5-EF1D35DCCAAB}">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cellIs" priority="4" operator="between" id="{A906A9F7-E125-40EA-A09C-417686DCECC4}">
            <xm:f>0</xm:f>
            <xm:f>Calculations!$G$34</xm:f>
            <x14:dxf>
              <fill>
                <patternFill>
                  <bgColor rgb="FFCCFFCC"/>
                </patternFill>
              </fill>
            </x14:dxf>
          </x14:cfRule>
          <xm:sqref>B19</xm:sqref>
        </x14:conditionalFormatting>
        <x14:conditionalFormatting xmlns:xm="http://schemas.microsoft.com/office/excel/2006/main">
          <x14:cfRule type="expression" priority="2" id="{DF400689-4BA0-46A6-B6B1-C356B37E453F}">
            <xm:f>Input!$C$19="No"</xm:f>
            <x14:dxf>
              <font>
                <color theme="0"/>
              </font>
            </x14:dxf>
          </x14:cfRule>
          <xm:sqref>C11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N43"/>
  <sheetViews>
    <sheetView showGridLines="0" zoomScaleNormal="100" workbookViewId="0">
      <selection activeCell="I1" sqref="I1"/>
    </sheetView>
  </sheetViews>
  <sheetFormatPr defaultColWidth="0" defaultRowHeight="0" customHeight="1" zeroHeight="1" x14ac:dyDescent="0.3"/>
  <cols>
    <col min="1" max="1" width="30" style="1" customWidth="1"/>
    <col min="2" max="2" width="17" style="1" customWidth="1"/>
    <col min="3" max="3" width="11.81640625" style="1" customWidth="1"/>
    <col min="4" max="4" width="2.453125" style="1" customWidth="1"/>
    <col min="5" max="5" width="15.1796875" style="1" customWidth="1"/>
    <col min="6" max="6" width="13.81640625" style="1" customWidth="1"/>
    <col min="7" max="7" width="14.54296875" style="1" customWidth="1"/>
    <col min="8" max="8" width="17.81640625" style="1" customWidth="1"/>
    <col min="9" max="9" width="17.54296875" style="1" customWidth="1"/>
    <col min="10" max="10" width="13.81640625" style="1" customWidth="1"/>
    <col min="11" max="11" width="2.81640625" style="1" customWidth="1"/>
    <col min="12" max="12" width="15.1796875" style="1" customWidth="1"/>
    <col min="13" max="13" width="16.81640625" style="1" customWidth="1"/>
    <col min="14" max="14" width="16" style="1" customWidth="1"/>
    <col min="15" max="15" width="0.81640625" style="1" customWidth="1"/>
    <col min="16" max="16384" width="0" style="1" hidden="1"/>
  </cols>
  <sheetData>
    <row r="1" spans="1:14" ht="18.75" customHeight="1" thickBot="1" x14ac:dyDescent="0.35">
      <c r="I1" s="120" t="s">
        <v>33</v>
      </c>
      <c r="L1" s="73"/>
      <c r="M1" s="86" t="s">
        <v>32</v>
      </c>
      <c r="N1" s="73"/>
    </row>
    <row r="2" spans="1:14" ht="17.5" x14ac:dyDescent="0.35">
      <c r="A2" s="307" t="str">
        <f>Input!$C$9&amp;" TAX EXTENSION WORKSHEET"</f>
        <v>2025 TAX EXTENSION WORKSHEET</v>
      </c>
      <c r="B2" s="307"/>
      <c r="C2" s="307"/>
      <c r="F2" s="75"/>
      <c r="G2" s="75"/>
      <c r="H2" s="75" t="str">
        <f>"Estimated % Change to Existing EAV for "&amp;Input!$C$9&amp;" "</f>
        <v xml:space="preserve">Estimated % Change to Existing EAV for 2025 </v>
      </c>
      <c r="I2" s="87">
        <f>Calculations!H5</f>
        <v>0</v>
      </c>
      <c r="L2" s="85"/>
      <c r="M2" s="102" t="s">
        <v>30</v>
      </c>
      <c r="N2" s="84"/>
    </row>
    <row r="3" spans="1:14" ht="2.5" customHeight="1" x14ac:dyDescent="0.35">
      <c r="A3" s="204"/>
      <c r="B3" s="204"/>
      <c r="C3" s="204"/>
      <c r="F3" s="75"/>
      <c r="G3" s="75"/>
      <c r="H3" s="75"/>
      <c r="I3" s="75"/>
      <c r="L3" s="205"/>
      <c r="M3" s="206"/>
      <c r="N3" s="207"/>
    </row>
    <row r="4" spans="1:14" ht="15" x14ac:dyDescent="0.3">
      <c r="F4" s="75"/>
      <c r="G4" s="75"/>
      <c r="H4" s="75" t="str">
        <f>"Estimated New Property for "&amp;Input!$C$9&amp;" "</f>
        <v xml:space="preserve">Estimated New Property for 2025 </v>
      </c>
      <c r="I4" s="53">
        <f>IF(Input!$C$19="Yes",Input!$C$38,0)</f>
        <v>0</v>
      </c>
      <c r="L4" s="70"/>
      <c r="M4" s="100" t="s">
        <v>31</v>
      </c>
      <c r="N4" s="71"/>
    </row>
    <row r="5" spans="1:14" ht="2.15" customHeight="1" x14ac:dyDescent="0.3">
      <c r="F5" s="75"/>
      <c r="G5" s="75"/>
      <c r="H5" s="75"/>
      <c r="I5" s="75"/>
      <c r="L5" s="70"/>
      <c r="M5" s="100"/>
      <c r="N5" s="71"/>
    </row>
    <row r="6" spans="1:14" ht="15.5" thickBot="1" x14ac:dyDescent="0.35">
      <c r="F6" s="74"/>
      <c r="G6" s="74"/>
      <c r="H6" s="75" t="str">
        <f>"Estimated Total EAV for "&amp;Input!$C$9&amp;" "</f>
        <v xml:space="preserve">Estimated Total EAV for 2025 </v>
      </c>
      <c r="I6" s="92">
        <f>Input!$C$40</f>
        <v>0</v>
      </c>
      <c r="J6" s="50"/>
      <c r="L6" s="93"/>
      <c r="M6" s="101" t="s">
        <v>35</v>
      </c>
      <c r="N6" s="94"/>
    </row>
    <row r="7" spans="1:14" ht="15" x14ac:dyDescent="0.3">
      <c r="F7" s="75"/>
      <c r="G7" s="75"/>
      <c r="H7" s="75" t="str">
        <f>"Estimated Total EAV Change for "&amp;Input!$C$9&amp;" "</f>
        <v xml:space="preserve">Estimated Total EAV Change for 2025 </v>
      </c>
      <c r="I7" s="89" t="e">
        <f>Input!$C$41</f>
        <v>#DIV/0!</v>
      </c>
      <c r="J7" s="50"/>
    </row>
    <row r="8" spans="1:14" ht="12" customHeight="1" thickBot="1" x14ac:dyDescent="0.35">
      <c r="F8" s="75"/>
      <c r="G8" s="75"/>
      <c r="H8" s="75"/>
      <c r="I8" s="118"/>
      <c r="J8" s="50"/>
    </row>
    <row r="9" spans="1:14" ht="18" customHeight="1" x14ac:dyDescent="0.3">
      <c r="A9" s="289"/>
      <c r="B9" s="44"/>
      <c r="C9" s="44"/>
      <c r="D9" s="44"/>
      <c r="E9" s="44"/>
      <c r="F9" s="106"/>
      <c r="G9" s="107"/>
      <c r="H9" s="107"/>
      <c r="I9" s="119" t="s">
        <v>37</v>
      </c>
      <c r="J9" s="108"/>
      <c r="K9" s="108"/>
      <c r="L9" s="108"/>
      <c r="M9" s="108"/>
      <c r="N9" s="109"/>
    </row>
    <row r="10" spans="1:14" ht="15.75" customHeight="1" x14ac:dyDescent="0.3">
      <c r="A10" s="289"/>
      <c r="B10" s="312" t="s">
        <v>92</v>
      </c>
      <c r="C10" s="312" t="s">
        <v>93</v>
      </c>
      <c r="D10" s="312"/>
      <c r="E10" s="45"/>
      <c r="F10" s="110"/>
      <c r="G10" s="75"/>
      <c r="H10" s="75" t="str">
        <f>"Actual % Change to Existing EAV for "&amp;Input!$C$9&amp;" "</f>
        <v xml:space="preserve">Actual % Change to Existing EAV for 2025 </v>
      </c>
      <c r="I10" s="88">
        <f>+I2</f>
        <v>0</v>
      </c>
      <c r="J10" s="50" t="s">
        <v>64</v>
      </c>
      <c r="N10" s="111"/>
    </row>
    <row r="11" spans="1:14" ht="15" x14ac:dyDescent="0.3">
      <c r="A11" s="11"/>
      <c r="B11" s="313"/>
      <c r="C11" s="313"/>
      <c r="D11" s="313"/>
      <c r="E11" s="45"/>
      <c r="F11" s="110"/>
      <c r="G11" s="75"/>
      <c r="H11" s="75" t="str">
        <f>"Actual New Property for "&amp;Input!$C$9&amp;" "</f>
        <v xml:space="preserve">Actual New Property for 2025 </v>
      </c>
      <c r="I11" s="54">
        <f>+I4</f>
        <v>0</v>
      </c>
      <c r="J11" s="50" t="s">
        <v>65</v>
      </c>
      <c r="N11" s="111"/>
    </row>
    <row r="12" spans="1:14" ht="15" x14ac:dyDescent="0.3">
      <c r="A12" s="5" t="s">
        <v>54</v>
      </c>
      <c r="B12" s="95" t="e">
        <f>IF(Input!C19="Yes",Input!$D$63*(1+MIN(0.05,Input!$C$28))/(Input!$C$40-Input!$C$38)*100,"N/A")</f>
        <v>#DIV/0!</v>
      </c>
      <c r="C12" s="308" t="e">
        <f>IF(Input!C19="Yes",Input!$D$63*(1+MIN(0.05,Input!$C$28))/(I12-I11)*100,"N/A")</f>
        <v>#DIV/0!</v>
      </c>
      <c r="D12" s="309"/>
      <c r="F12" s="110"/>
      <c r="G12" s="75"/>
      <c r="H12" s="75" t="str">
        <f>"Actual Total EAV for "&amp;Input!$C$9&amp;" "</f>
        <v xml:space="preserve">Actual Total EAV for 2025 </v>
      </c>
      <c r="I12" s="92">
        <f>Input!C30*(1+Extension!I10)+IF(Input!$C$19="Yes",Extension!I11,0)</f>
        <v>0</v>
      </c>
      <c r="J12" s="50"/>
      <c r="N12" s="111"/>
    </row>
    <row r="13" spans="1:14" ht="15" x14ac:dyDescent="0.3">
      <c r="A13" s="5" t="s">
        <v>66</v>
      </c>
      <c r="B13" s="58" t="e">
        <f>IF(Input!C19="Yes",($B$12*Input!$C$40)/100,"N/A")</f>
        <v>#DIV/0!</v>
      </c>
      <c r="C13" s="310" t="e">
        <f>IF(Input!C19="Yes",($C$12*$I$12)/100,"N/A")</f>
        <v>#DIV/0!</v>
      </c>
      <c r="D13" s="311"/>
      <c r="E13" s="43"/>
      <c r="F13" s="110"/>
      <c r="G13" s="75"/>
      <c r="H13" s="75" t="str">
        <f>"Actual Total EAV Change for "&amp;Input!$C$9&amp;" "</f>
        <v xml:space="preserve">Actual Total EAV Change for 2025 </v>
      </c>
      <c r="I13" s="90" t="e">
        <f>I12/Input!$C$30-1</f>
        <v>#DIV/0!</v>
      </c>
      <c r="J13" s="50"/>
      <c r="N13" s="111"/>
    </row>
    <row r="14" spans="1:14" ht="15.75" customHeight="1" x14ac:dyDescent="0.3">
      <c r="F14" s="112"/>
      <c r="J14" s="113" t="s">
        <v>68</v>
      </c>
      <c r="N14" s="111"/>
    </row>
    <row r="15" spans="1:14" ht="15" x14ac:dyDescent="0.3">
      <c r="F15" s="112"/>
      <c r="H15" s="5" t="s">
        <v>67</v>
      </c>
      <c r="I15" s="56" t="e">
        <f>IF(C12&gt;G34,"N/A",$C$12/$G$34)</f>
        <v>#DIV/0!</v>
      </c>
      <c r="J15" s="130" t="str">
        <f>IF(Input!C19="No"," YES - All Available Property Tax Dollars Have Been Captured"," YES - All Available Tax Capped Dollars Have Been Captured")</f>
        <v xml:space="preserve"> YES - All Available Tax Capped Dollars Have Been Captured</v>
      </c>
      <c r="K15" s="131"/>
      <c r="L15" s="131"/>
      <c r="M15" s="131"/>
      <c r="N15" s="132"/>
    </row>
    <row r="16" spans="1:14" ht="15" x14ac:dyDescent="0.3">
      <c r="F16" s="112"/>
      <c r="H16" s="5" t="str">
        <f>IF(Input!C19="Yes","Amount Below Allowable PTELL ","Amount Below Available Extension ")</f>
        <v xml:space="preserve">Amount Below Allowable PTELL </v>
      </c>
      <c r="I16" s="200" t="e">
        <f>IF(Input!C19="No",IF(Extension!I34&lt;Extension!H34,Extension!I34-Extension!H34,""),IF(I15="N/A",I34-C13,""))</f>
        <v>#DIV/0!</v>
      </c>
      <c r="J16" s="127" t="e">
        <f>IF(I16&lt;0," ALERT - Levy Increase Needed to Capture All Available Property Taxes","")</f>
        <v>#DIV/0!</v>
      </c>
      <c r="N16" s="111"/>
    </row>
    <row r="17" spans="1:14" ht="12" customHeight="1" thickBot="1" x14ac:dyDescent="0.35">
      <c r="A17" s="5"/>
      <c r="B17" s="5"/>
      <c r="F17" s="114"/>
      <c r="G17" s="115"/>
      <c r="H17" s="115"/>
      <c r="I17" s="115"/>
      <c r="J17" s="116"/>
      <c r="K17" s="115"/>
      <c r="L17" s="115"/>
      <c r="M17" s="115"/>
      <c r="N17" s="117"/>
    </row>
    <row r="18" spans="1:14" ht="18" customHeight="1" x14ac:dyDescent="0.3">
      <c r="G18" s="314" t="str">
        <f>IF(Input!C19="No","Maximum Extension Factor",IF(Input!C21="no","Maximum Calculated Tax Rate","Maximum Tax Rate using Prior Year EAV"))</f>
        <v>Maximum Calculated Tax Rate</v>
      </c>
      <c r="H18" s="314" t="str">
        <f>IF(Input!C19="No","Scenario Calculated Maximum Extension ","Maximum Allowable Extension")</f>
        <v>Maximum Allowable Extension</v>
      </c>
      <c r="I18" s="314" t="str">
        <f>IF(Input!$C$19="Yes","Maximum Allowable Extension x Reduction Factor","Scenario Calculated Extension")</f>
        <v>Maximum Allowable Extension x Reduction Factor</v>
      </c>
      <c r="J18" s="314" t="s">
        <v>70</v>
      </c>
      <c r="N18" s="314" t="s">
        <v>73</v>
      </c>
    </row>
    <row r="19" spans="1:14" ht="38" customHeight="1" x14ac:dyDescent="0.3">
      <c r="B19" s="8" t="s">
        <v>89</v>
      </c>
      <c r="C19" s="8" t="s">
        <v>69</v>
      </c>
      <c r="E19" s="8" t="s">
        <v>75</v>
      </c>
      <c r="F19" s="8" t="s">
        <v>84</v>
      </c>
      <c r="G19" s="287"/>
      <c r="H19" s="287"/>
      <c r="I19" s="287"/>
      <c r="J19" s="287"/>
      <c r="L19" s="8" t="s">
        <v>71</v>
      </c>
      <c r="M19" s="8" t="s">
        <v>72</v>
      </c>
      <c r="N19" s="287"/>
    </row>
    <row r="20" spans="1:14" ht="15" x14ac:dyDescent="0.3">
      <c r="A20" s="75" t="str">
        <f>Calculations!A14</f>
        <v xml:space="preserve">Corporate </v>
      </c>
      <c r="B20" s="53" t="e">
        <f>Calculations!J14</f>
        <v>#DIV/0!</v>
      </c>
      <c r="C20" s="57"/>
      <c r="E20" s="53" t="e">
        <f>B20*(1+C20)</f>
        <v>#DIV/0!</v>
      </c>
      <c r="F20" s="96" t="e">
        <f>(E20/$I$12)*100</f>
        <v>#DIV/0!</v>
      </c>
      <c r="G20" s="96" t="e">
        <f>IF(Input!$C$19="No",IF(Input!C50&gt;0,Input!C50,"Levy"),IF(Input!$C$21="no",IF(Input!C50&gt;0,MIN(Input!C50,F20),F20),IF(Input!C50&gt;0,MIN(Input!C50,Input!C50*(Input!$C$30+$I$11)/Extension!$I$12,F20),F20)))</f>
        <v>#DIV/0!</v>
      </c>
      <c r="H20" s="59" t="e">
        <f>IF(G20="Levy",E20,((G20*$I$12)/100))</f>
        <v>#DIV/0!</v>
      </c>
      <c r="I20" s="59" t="e">
        <f>IF(Input!$C$19="Yes",IF($I$15="N/A",H20,H20*$I$15),IF(Extension!E20&lt;Extension!H20,Extension!E20,Extension!H20))</f>
        <v>#DIV/0!</v>
      </c>
      <c r="J20" s="96" t="e">
        <f>(I20/$I$12)*100</f>
        <v>#DIV/0!</v>
      </c>
      <c r="L20" s="60">
        <v>0</v>
      </c>
      <c r="M20" s="59" t="e">
        <f>I20+L20</f>
        <v>#DIV/0!</v>
      </c>
      <c r="N20" s="96" t="e">
        <f>IF(M20=0,0,M20/$I$12)*100</f>
        <v>#DIV/0!</v>
      </c>
    </row>
    <row r="21" spans="1:14" ht="15" x14ac:dyDescent="0.3">
      <c r="A21" s="75" t="str">
        <f>Calculations!A15</f>
        <v xml:space="preserve">Working Cash Funds </v>
      </c>
      <c r="B21" s="53" t="e">
        <f>Calculations!J15</f>
        <v>#DIV/0!</v>
      </c>
      <c r="C21" s="57"/>
      <c r="E21" s="53" t="e">
        <f t="shared" ref="E21:E31" si="0">B21*(1+C21)</f>
        <v>#DIV/0!</v>
      </c>
      <c r="F21" s="96" t="e">
        <f t="shared" ref="F21:F31" si="1">(E21/$I$12)*100</f>
        <v>#DIV/0!</v>
      </c>
      <c r="G21" s="96" t="e">
        <f>IF(Input!$C$19="No",IF(Input!C51&gt;0,Input!C51,"Levy"),IF(Input!$C$21="no",IF(Input!C51&gt;0,MIN(Input!C51,F21),F21),IF(Input!C51&gt;0,MIN(Input!C51,Input!C51*(Input!$C$30+$I$11)/Extension!$I$12,F21),F21)))</f>
        <v>#DIV/0!</v>
      </c>
      <c r="H21" s="59" t="e">
        <f t="shared" ref="H21:H31" si="2">IF(G21="Levy",E21,((G21*$I$12)/100))</f>
        <v>#DIV/0!</v>
      </c>
      <c r="I21" s="59" t="e">
        <f>IF(Input!$C$19="Yes",IF($I$15="N/A",H21,H21*$I$15),IF(Extension!E21&lt;Extension!H21,Extension!E21,Extension!H21))</f>
        <v>#DIV/0!</v>
      </c>
      <c r="J21" s="96" t="e">
        <f t="shared" ref="J21:J31" si="3">(I21/$I$12)*100</f>
        <v>#DIV/0!</v>
      </c>
      <c r="L21" s="60">
        <v>0</v>
      </c>
      <c r="M21" s="59" t="e">
        <f t="shared" ref="M21:M31" si="4">I21+L21</f>
        <v>#DIV/0!</v>
      </c>
      <c r="N21" s="96" t="e">
        <f t="shared" ref="N21:N31" si="5">IF(M21=0,0,M21/$I$12)*100</f>
        <v>#DIV/0!</v>
      </c>
    </row>
    <row r="22" spans="1:14" ht="15" x14ac:dyDescent="0.3">
      <c r="A22" s="75" t="str">
        <f>Calculations!A16</f>
        <v xml:space="preserve">Audit </v>
      </c>
      <c r="B22" s="53" t="e">
        <f>Calculations!J16</f>
        <v>#DIV/0!</v>
      </c>
      <c r="C22" s="57"/>
      <c r="E22" s="53" t="e">
        <f t="shared" si="0"/>
        <v>#DIV/0!</v>
      </c>
      <c r="F22" s="96" t="e">
        <f t="shared" si="1"/>
        <v>#DIV/0!</v>
      </c>
      <c r="G22" s="96" t="e">
        <f>IF(Input!$C$19="No",IF(Input!C52&gt;0,Input!C52,"Levy"),IF(Input!$C$21="no",IF(Input!C52&gt;0,MIN(Input!C52,F22),F22),IF(Input!C52&gt;0,MIN(Input!C52,Input!C52*(Input!$C$30+$I$11)/Extension!$I$12,F22),F22)))</f>
        <v>#DIV/0!</v>
      </c>
      <c r="H22" s="59" t="e">
        <f t="shared" si="2"/>
        <v>#DIV/0!</v>
      </c>
      <c r="I22" s="59" t="e">
        <f>IF(Input!$C$19="Yes",IF($I$15="N/A",H22,H22*$I$15),IF(Extension!E22&lt;Extension!H22,Extension!E22,Extension!H22))</f>
        <v>#DIV/0!</v>
      </c>
      <c r="J22" s="96" t="e">
        <f t="shared" si="3"/>
        <v>#DIV/0!</v>
      </c>
      <c r="L22" s="60">
        <v>0</v>
      </c>
      <c r="M22" s="59" t="e">
        <f t="shared" si="4"/>
        <v>#DIV/0!</v>
      </c>
      <c r="N22" s="96" t="e">
        <f t="shared" si="5"/>
        <v>#DIV/0!</v>
      </c>
    </row>
    <row r="23" spans="1:14" ht="15" x14ac:dyDescent="0.3">
      <c r="A23" s="75" t="str">
        <f>Calculations!A17</f>
        <v xml:space="preserve">Municipal Retirement </v>
      </c>
      <c r="B23" s="53" t="e">
        <f>Calculations!J17</f>
        <v>#DIV/0!</v>
      </c>
      <c r="C23" s="57"/>
      <c r="E23" s="53" t="e">
        <f t="shared" si="0"/>
        <v>#DIV/0!</v>
      </c>
      <c r="F23" s="96" t="e">
        <f t="shared" si="1"/>
        <v>#DIV/0!</v>
      </c>
      <c r="G23" s="96" t="e">
        <f>IF(Input!$C$19="No",IF(Input!C53&gt;0,Input!C53,"Levy"),IF(Input!$C$21="no",IF(Input!C53&gt;0,MIN(Input!C53,F23),F23),IF(Input!C53&gt;0,MIN(Input!C53,Input!C53*(Input!$C$30+$I$11)/Extension!$I$12,F23),F23)))</f>
        <v>#DIV/0!</v>
      </c>
      <c r="H23" s="59" t="e">
        <f t="shared" si="2"/>
        <v>#DIV/0!</v>
      </c>
      <c r="I23" s="59" t="e">
        <f>IF(Input!$C$19="Yes",IF($I$15="N/A",H23,H23*$I$15),IF(Extension!E23&lt;Extension!H23,Extension!E23,Extension!H23))</f>
        <v>#DIV/0!</v>
      </c>
      <c r="J23" s="96" t="e">
        <f t="shared" si="3"/>
        <v>#DIV/0!</v>
      </c>
      <c r="L23" s="60">
        <v>0</v>
      </c>
      <c r="M23" s="59" t="e">
        <f t="shared" si="4"/>
        <v>#DIV/0!</v>
      </c>
      <c r="N23" s="96" t="e">
        <f t="shared" si="5"/>
        <v>#DIV/0!</v>
      </c>
    </row>
    <row r="24" spans="1:14" ht="15" x14ac:dyDescent="0.3">
      <c r="A24" s="75" t="str">
        <f>Calculations!A18</f>
        <v xml:space="preserve">Unemployment Insurance </v>
      </c>
      <c r="B24" s="53" t="e">
        <f>Calculations!J18</f>
        <v>#DIV/0!</v>
      </c>
      <c r="C24" s="57"/>
      <c r="E24" s="53" t="e">
        <f t="shared" si="0"/>
        <v>#DIV/0!</v>
      </c>
      <c r="F24" s="96" t="e">
        <f t="shared" ref="F24:F30" si="6">(E24/$I$12)*100</f>
        <v>#DIV/0!</v>
      </c>
      <c r="G24" s="96" t="e">
        <f>IF(Input!$C$19="No",IF(Input!C54&gt;0,Input!C54,"Levy"),IF(Input!$C$21="no",IF(Input!C54&gt;0,MIN(Input!C54,F24),F24),IF(Input!C54&gt;0,MIN(Input!C54,Input!C54*(Input!$C$30+$I$11)/Extension!$I$12,F24),F24)))</f>
        <v>#DIV/0!</v>
      </c>
      <c r="H24" s="59" t="e">
        <f t="shared" ref="H24:H30" si="7">IF(G24="Levy",E24,((G24*$I$12)/100))</f>
        <v>#DIV/0!</v>
      </c>
      <c r="I24" s="59" t="e">
        <f>IF(Input!$C$19="Yes",IF($I$15="N/A",H24,H24*$I$15),IF(Extension!E24&lt;Extension!H24,Extension!E24,Extension!H24))</f>
        <v>#DIV/0!</v>
      </c>
      <c r="J24" s="96" t="e">
        <f t="shared" ref="J24:J30" si="8">(I24/$I$12)*100</f>
        <v>#DIV/0!</v>
      </c>
      <c r="L24" s="60">
        <v>0</v>
      </c>
      <c r="M24" s="59" t="e">
        <f t="shared" si="4"/>
        <v>#DIV/0!</v>
      </c>
      <c r="N24" s="96" t="e">
        <f t="shared" si="5"/>
        <v>#DIV/0!</v>
      </c>
    </row>
    <row r="25" spans="1:14" ht="15" x14ac:dyDescent="0.3">
      <c r="A25" s="75" t="str">
        <f>Calculations!A19</f>
        <v xml:space="preserve">Workman's Compensation </v>
      </c>
      <c r="B25" s="53" t="e">
        <f>Calculations!J19</f>
        <v>#DIV/0!</v>
      </c>
      <c r="C25" s="57"/>
      <c r="E25" s="53" t="e">
        <f t="shared" si="0"/>
        <v>#DIV/0!</v>
      </c>
      <c r="F25" s="96" t="e">
        <f t="shared" si="6"/>
        <v>#DIV/0!</v>
      </c>
      <c r="G25" s="96" t="e">
        <f>IF(Input!$C$19="No",IF(Input!C55&gt;0,Input!C55,"Levy"),IF(Input!$C$21="no",IF(Input!C55&gt;0,MIN(Input!C55,F25),F25),IF(Input!C55&gt;0,MIN(Input!C55,Input!C55*(Input!$C$30+$I$11)/Extension!$I$12,F25),F25)))</f>
        <v>#DIV/0!</v>
      </c>
      <c r="H25" s="59" t="e">
        <f t="shared" si="7"/>
        <v>#DIV/0!</v>
      </c>
      <c r="I25" s="59" t="e">
        <f>IF(Input!$C$19="Yes",IF($I$15="N/A",H25,H25*$I$15),IF(Extension!E25&lt;Extension!H25,Extension!E25,Extension!H25))</f>
        <v>#DIV/0!</v>
      </c>
      <c r="J25" s="96" t="e">
        <f t="shared" si="8"/>
        <v>#DIV/0!</v>
      </c>
      <c r="L25" s="60">
        <v>0</v>
      </c>
      <c r="M25" s="59" t="e">
        <f t="shared" si="4"/>
        <v>#DIV/0!</v>
      </c>
      <c r="N25" s="96" t="e">
        <f t="shared" si="5"/>
        <v>#DIV/0!</v>
      </c>
    </row>
    <row r="26" spans="1:14" ht="15" x14ac:dyDescent="0.3">
      <c r="A26" s="75" t="str">
        <f>Calculations!A20</f>
        <v xml:space="preserve">Social Security </v>
      </c>
      <c r="B26" s="53" t="e">
        <f>Calculations!J20</f>
        <v>#DIV/0!</v>
      </c>
      <c r="C26" s="57"/>
      <c r="E26" s="53" t="e">
        <f t="shared" si="0"/>
        <v>#DIV/0!</v>
      </c>
      <c r="F26" s="96" t="e">
        <f t="shared" si="6"/>
        <v>#DIV/0!</v>
      </c>
      <c r="G26" s="96" t="e">
        <f>IF(Input!$C$19="No",IF(Input!C56&gt;0,Input!C56,"Levy"),IF(Input!$C$21="no",IF(Input!C56&gt;0,MIN(Input!C56,F26),F26),IF(Input!C56&gt;0,MIN(Input!C56,Input!C56*(Input!$C$30+$I$11)/Extension!$I$12,F26),F26)))</f>
        <v>#DIV/0!</v>
      </c>
      <c r="H26" s="59" t="e">
        <f t="shared" si="7"/>
        <v>#DIV/0!</v>
      </c>
      <c r="I26" s="59" t="e">
        <f>IF(Input!$C$19="Yes",IF($I$15="N/A",H26,H26*$I$15),IF(Extension!E26&lt;Extension!H26,Extension!E26,Extension!H26))</f>
        <v>#DIV/0!</v>
      </c>
      <c r="J26" s="96" t="e">
        <f t="shared" si="8"/>
        <v>#DIV/0!</v>
      </c>
      <c r="L26" s="60">
        <v>0</v>
      </c>
      <c r="M26" s="59" t="e">
        <f t="shared" si="4"/>
        <v>#DIV/0!</v>
      </c>
      <c r="N26" s="96" t="e">
        <f t="shared" si="5"/>
        <v>#DIV/0!</v>
      </c>
    </row>
    <row r="27" spans="1:14" ht="15" x14ac:dyDescent="0.3">
      <c r="A27" s="75" t="str">
        <f>Calculations!A21</f>
        <v xml:space="preserve">Liability Insurance </v>
      </c>
      <c r="B27" s="53" t="e">
        <f>Calculations!J21</f>
        <v>#DIV/0!</v>
      </c>
      <c r="C27" s="57"/>
      <c r="E27" s="53" t="e">
        <f t="shared" si="0"/>
        <v>#DIV/0!</v>
      </c>
      <c r="F27" s="96" t="e">
        <f t="shared" si="6"/>
        <v>#DIV/0!</v>
      </c>
      <c r="G27" s="96" t="e">
        <f>IF(Input!$C$19="No",IF(Input!C57&gt;0,Input!C57,"Levy"),IF(Input!$C$21="no",IF(Input!C57&gt;0,MIN(Input!C57,F27),F27),IF(Input!C57&gt;0,MIN(Input!C57,Input!C57*(Input!$C$30+$I$11)/Extension!$I$12,F27),F27)))</f>
        <v>#DIV/0!</v>
      </c>
      <c r="H27" s="59" t="e">
        <f t="shared" si="7"/>
        <v>#DIV/0!</v>
      </c>
      <c r="I27" s="59" t="e">
        <f>IF(Input!$C$19="Yes",IF($I$15="N/A",H27,H27*$I$15),IF(Extension!E27&lt;Extension!H27,Extension!E27,Extension!H27))</f>
        <v>#DIV/0!</v>
      </c>
      <c r="J27" s="96" t="e">
        <f t="shared" si="8"/>
        <v>#DIV/0!</v>
      </c>
      <c r="L27" s="60">
        <v>0</v>
      </c>
      <c r="M27" s="59" t="e">
        <f t="shared" si="4"/>
        <v>#DIV/0!</v>
      </c>
      <c r="N27" s="96" t="e">
        <f t="shared" si="5"/>
        <v>#DIV/0!</v>
      </c>
    </row>
    <row r="28" spans="1:14" ht="15" x14ac:dyDescent="0.3">
      <c r="A28" s="75" t="str">
        <f>Calculations!A22</f>
        <v xml:space="preserve">Buildings Equipment and Maintenance </v>
      </c>
      <c r="B28" s="53" t="e">
        <f>Calculations!J22</f>
        <v>#DIV/0!</v>
      </c>
      <c r="C28" s="57"/>
      <c r="E28" s="53" t="e">
        <f t="shared" si="0"/>
        <v>#DIV/0!</v>
      </c>
      <c r="F28" s="96" t="e">
        <f t="shared" si="6"/>
        <v>#DIV/0!</v>
      </c>
      <c r="G28" s="96" t="e">
        <f>IF(Input!$C$19="No",IF(Input!C58&gt;0,Input!C58,"Levy"),IF(Input!$C$21="no",IF(Input!C58&gt;0,MIN(Input!C58,F28),F28),IF(Input!C58&gt;0,MIN(Input!C58,Input!C58*(Input!$C$30+$I$11)/Extension!$I$12,F28),F28)))</f>
        <v>#DIV/0!</v>
      </c>
      <c r="H28" s="59" t="e">
        <f t="shared" si="7"/>
        <v>#DIV/0!</v>
      </c>
      <c r="I28" s="59" t="e">
        <f>IF(Input!$C$19="Yes",IF($I$15="N/A",H28,H28*$I$15),IF(Extension!E28&lt;Extension!H28,Extension!E28,Extension!H28))</f>
        <v>#DIV/0!</v>
      </c>
      <c r="J28" s="96" t="e">
        <f t="shared" si="8"/>
        <v>#DIV/0!</v>
      </c>
      <c r="L28" s="60">
        <v>0</v>
      </c>
      <c r="M28" s="59" t="e">
        <f t="shared" si="4"/>
        <v>#DIV/0!</v>
      </c>
      <c r="N28" s="96" t="e">
        <f t="shared" si="5"/>
        <v>#DIV/0!</v>
      </c>
    </row>
    <row r="29" spans="1:14" ht="15" x14ac:dyDescent="0.3">
      <c r="A29" s="75" t="str">
        <f>Calculations!A23</f>
        <v xml:space="preserve">Custom 1 </v>
      </c>
      <c r="B29" s="53" t="e">
        <f>Calculations!J23</f>
        <v>#DIV/0!</v>
      </c>
      <c r="C29" s="57"/>
      <c r="E29" s="53" t="e">
        <f t="shared" si="0"/>
        <v>#DIV/0!</v>
      </c>
      <c r="F29" s="96" t="e">
        <f t="shared" si="6"/>
        <v>#DIV/0!</v>
      </c>
      <c r="G29" s="96" t="e">
        <f>IF(Input!$C$19="No",IF(Input!C59&gt;0,Input!C59,"Levy"),IF(Input!$C$21="no",IF(Input!C59&gt;0,MIN(Input!C59,F29),F29),IF(Input!C59&gt;0,MIN(Input!C59,Input!C59*(Input!$C$30+$I$11)/Extension!$I$12,F29),F29)))</f>
        <v>#DIV/0!</v>
      </c>
      <c r="H29" s="59" t="e">
        <f t="shared" si="7"/>
        <v>#DIV/0!</v>
      </c>
      <c r="I29" s="59" t="e">
        <f>IF(Input!$C$19="Yes",IF($I$15="N/A",H29,H29*$I$15),IF(Extension!E29&lt;Extension!H29,Extension!E29,Extension!H29))</f>
        <v>#DIV/0!</v>
      </c>
      <c r="J29" s="96" t="e">
        <f t="shared" si="8"/>
        <v>#DIV/0!</v>
      </c>
      <c r="L29" s="60">
        <v>0</v>
      </c>
      <c r="M29" s="59" t="e">
        <f t="shared" si="4"/>
        <v>#DIV/0!</v>
      </c>
      <c r="N29" s="96" t="e">
        <f t="shared" si="5"/>
        <v>#DIV/0!</v>
      </c>
    </row>
    <row r="30" spans="1:14" ht="15" x14ac:dyDescent="0.3">
      <c r="A30" s="75" t="str">
        <f>Calculations!A24</f>
        <v xml:space="preserve">Custom 2 </v>
      </c>
      <c r="B30" s="53" t="e">
        <f>Calculations!J24</f>
        <v>#DIV/0!</v>
      </c>
      <c r="C30" s="57"/>
      <c r="E30" s="53" t="e">
        <f t="shared" si="0"/>
        <v>#DIV/0!</v>
      </c>
      <c r="F30" s="96" t="e">
        <f t="shared" si="6"/>
        <v>#DIV/0!</v>
      </c>
      <c r="G30" s="96" t="e">
        <f>IF(Input!$C$19="No",IF(Input!C60&gt;0,Input!C60,"Levy"),IF(Input!$C$21="no",IF(Input!C60&gt;0,MIN(Input!C60,F30),F30),IF(Input!C60&gt;0,MIN(Input!C60,Input!C60*(Input!$C$30+$I$11)/Extension!$I$12,F30),F30)))</f>
        <v>#DIV/0!</v>
      </c>
      <c r="H30" s="59" t="e">
        <f t="shared" si="7"/>
        <v>#DIV/0!</v>
      </c>
      <c r="I30" s="59" t="e">
        <f>IF(Input!$C$19="Yes",IF($I$15="N/A",H30,H30*$I$15),IF(Extension!E30&lt;Extension!H30,Extension!E30,Extension!H30))</f>
        <v>#DIV/0!</v>
      </c>
      <c r="J30" s="96" t="e">
        <f t="shared" si="8"/>
        <v>#DIV/0!</v>
      </c>
      <c r="L30" s="60">
        <v>0</v>
      </c>
      <c r="M30" s="59" t="e">
        <f t="shared" si="4"/>
        <v>#DIV/0!</v>
      </c>
      <c r="N30" s="96" t="e">
        <f t="shared" si="5"/>
        <v>#DIV/0!</v>
      </c>
    </row>
    <row r="31" spans="1:14" ht="15" x14ac:dyDescent="0.3">
      <c r="A31" s="75" t="str">
        <f>Calculations!A25</f>
        <v xml:space="preserve">Custom 3 </v>
      </c>
      <c r="B31" s="53" t="e">
        <f>Calculations!J25</f>
        <v>#DIV/0!</v>
      </c>
      <c r="C31" s="57"/>
      <c r="E31" s="53" t="e">
        <f t="shared" si="0"/>
        <v>#DIV/0!</v>
      </c>
      <c r="F31" s="96" t="e">
        <f t="shared" si="1"/>
        <v>#DIV/0!</v>
      </c>
      <c r="G31" s="96" t="e">
        <f>IF(Input!$C$19="No",IF(Input!C61&gt;0,Input!C61,"Levy"),IF(Input!$C$21="no",IF(Input!C61&gt;0,MIN(Input!C61,F31),F31),IF(Input!C61&gt;0,MIN(Input!C61,Input!C61*(Input!$C$30+$I$11)/Extension!$I$12,F31),F31)))</f>
        <v>#DIV/0!</v>
      </c>
      <c r="H31" s="59" t="e">
        <f t="shared" si="2"/>
        <v>#DIV/0!</v>
      </c>
      <c r="I31" s="59" t="e">
        <f>IF(Input!$C$19="Yes",IF($I$15="N/A",H31,H31*$I$15),IF(Extension!E31&lt;Extension!H31,Extension!E31,Extension!H31))</f>
        <v>#DIV/0!</v>
      </c>
      <c r="J31" s="96" t="e">
        <f t="shared" si="3"/>
        <v>#DIV/0!</v>
      </c>
      <c r="L31" s="60">
        <v>0</v>
      </c>
      <c r="M31" s="59" t="e">
        <f t="shared" si="4"/>
        <v>#DIV/0!</v>
      </c>
      <c r="N31" s="96" t="e">
        <f t="shared" si="5"/>
        <v>#DIV/0!</v>
      </c>
    </row>
    <row r="32" spans="1:14" ht="15.75" customHeight="1" x14ac:dyDescent="0.3">
      <c r="B32" s="3"/>
      <c r="C32" s="3"/>
      <c r="K32" s="47"/>
      <c r="L32" s="133">
        <f>-L34</f>
        <v>0</v>
      </c>
      <c r="M32" s="98" t="str">
        <f>IF(L32&lt;0," Extension Reduction Needed, Net to $0"," Extension Increase Needed, Net to $0")</f>
        <v xml:space="preserve"> Extension Increase Needed, Net to $0</v>
      </c>
    </row>
    <row r="33" spans="1:14" ht="15.75" customHeight="1" x14ac:dyDescent="0.3">
      <c r="B33" s="3"/>
      <c r="C33" s="3"/>
    </row>
    <row r="34" spans="1:14" ht="15" x14ac:dyDescent="0.3">
      <c r="A34" s="2" t="str">
        <f>IF(Input!C19="Yes","Capped Levy/Extension/Rate ","Levy/Extension/Rate ")</f>
        <v xml:space="preserve">Capped Levy/Extension/Rate </v>
      </c>
      <c r="B34" s="61" t="e">
        <f>SUM(B20:B31)</f>
        <v>#DIV/0!</v>
      </c>
      <c r="C34" s="4"/>
      <c r="E34" s="61" t="e">
        <f>SUM(E20:E31)</f>
        <v>#DIV/0!</v>
      </c>
      <c r="F34" s="97" t="e">
        <f>SUM(F20:F31)</f>
        <v>#DIV/0!</v>
      </c>
      <c r="G34" s="97" t="e">
        <f>SUM(G20:G31)</f>
        <v>#DIV/0!</v>
      </c>
      <c r="H34" s="62" t="e">
        <f>SUM(H20:H31)</f>
        <v>#DIV/0!</v>
      </c>
      <c r="I34" s="62" t="e">
        <f>SUM(I20:I32)</f>
        <v>#DIV/0!</v>
      </c>
      <c r="J34" s="97" t="e">
        <f>(I34/$I$12)*100</f>
        <v>#DIV/0!</v>
      </c>
      <c r="L34" s="62">
        <f>SUM(L20:L31)</f>
        <v>0</v>
      </c>
      <c r="M34" s="62" t="e">
        <f>SUM(M20:M31)</f>
        <v>#DIV/0!</v>
      </c>
      <c r="N34" s="97" t="e">
        <f>SUM(N20:N31)</f>
        <v>#DIV/0!</v>
      </c>
    </row>
    <row r="35" spans="1:14" ht="15" x14ac:dyDescent="0.3">
      <c r="A35" s="2"/>
      <c r="H35" s="47"/>
      <c r="I35" s="46"/>
    </row>
    <row r="36" spans="1:14" ht="15" hidden="1" x14ac:dyDescent="0.3">
      <c r="A36" s="2" t="s">
        <v>99</v>
      </c>
      <c r="B36" s="53">
        <f>Calculations!J32</f>
        <v>0</v>
      </c>
      <c r="H36" s="2" t="s">
        <v>98</v>
      </c>
      <c r="I36" s="59">
        <f>MIN(B36,I12*MIN(4%,Calculations!F31)/100)</f>
        <v>0</v>
      </c>
      <c r="J36" s="97" t="e">
        <f>MIN((I36/$I$12)*100,I36/I12*100)</f>
        <v>#DIV/0!</v>
      </c>
      <c r="K36" s="52"/>
      <c r="L36" s="9" t="e">
        <f>IF(J36&lt;Calculations!F31,(J36-Calculations!F31)*I12/100,"")</f>
        <v>#DIV/0!</v>
      </c>
      <c r="N36" s="97" t="e">
        <f>J36</f>
        <v>#DIV/0!</v>
      </c>
    </row>
    <row r="37" spans="1:14" ht="15" hidden="1" x14ac:dyDescent="0.3">
      <c r="A37" s="2"/>
      <c r="K37" s="51"/>
      <c r="L37" s="127" t="e">
        <f>IF(L36&lt;0," ALERT - Special Recreation Levy Increase Needed","")</f>
        <v>#DIV/0!</v>
      </c>
      <c r="M37" s="127"/>
      <c r="N37" s="127"/>
    </row>
    <row r="38" spans="1:14" ht="15" x14ac:dyDescent="0.3">
      <c r="A38" s="2" t="s">
        <v>88</v>
      </c>
      <c r="B38" s="61">
        <f>Calculations!J34</f>
        <v>0</v>
      </c>
      <c r="C38" s="10"/>
      <c r="H38" s="2" t="s">
        <v>90</v>
      </c>
      <c r="I38" s="60"/>
      <c r="J38" s="97" t="e">
        <f>(I38/$I$12)*100</f>
        <v>#DIV/0!</v>
      </c>
      <c r="K38" s="52" t="s">
        <v>34</v>
      </c>
      <c r="N38" s="97" t="e">
        <f>J38</f>
        <v>#DIV/0!</v>
      </c>
    </row>
    <row r="39" spans="1:14" ht="15" x14ac:dyDescent="0.3">
      <c r="A39" s="2"/>
      <c r="B39" s="42"/>
      <c r="C39" s="4"/>
      <c r="E39" s="4"/>
      <c r="F39" s="4"/>
      <c r="G39" s="4"/>
    </row>
    <row r="40" spans="1:14" ht="15" x14ac:dyDescent="0.3">
      <c r="A40" s="2" t="s">
        <v>57</v>
      </c>
      <c r="B40" s="61" t="e">
        <f>B34+B38+B36</f>
        <v>#DIV/0!</v>
      </c>
      <c r="C40" s="10"/>
      <c r="H40" s="2" t="s">
        <v>87</v>
      </c>
      <c r="I40" s="61" t="e">
        <f>I34+I38+I36</f>
        <v>#DIV/0!</v>
      </c>
      <c r="J40" s="97" t="e">
        <f>J34+J36+J38</f>
        <v>#DIV/0!</v>
      </c>
      <c r="M40" s="2"/>
      <c r="N40" s="97" t="e">
        <f>N34+N36+N38</f>
        <v>#DIV/0!</v>
      </c>
    </row>
    <row r="41" spans="1:14" ht="13" x14ac:dyDescent="0.3">
      <c r="C41" s="3"/>
    </row>
    <row r="42" spans="1:14" ht="4.5" customHeight="1" x14ac:dyDescent="0.3">
      <c r="C42" s="3"/>
    </row>
    <row r="43" spans="1:14" ht="13" hidden="1" x14ac:dyDescent="0.3">
      <c r="C43" s="3"/>
    </row>
  </sheetData>
  <sheetProtection algorithmName="SHA-512" hashValue="PQIpIi7bCc33VTNiHA27HufBCcj2H7CoeO058qwc5fQCvr+HB+iGlnCYLV3PqJiVdInkJO/uLVkYx0iJHJ5gPQ==" saltValue="Jw37pjvBlwmdrEtKzaA1Rg==" spinCount="100000" sheet="1" objects="1" scenarios="1"/>
  <mergeCells count="11">
    <mergeCell ref="N18:N19"/>
    <mergeCell ref="J18:J19"/>
    <mergeCell ref="G18:G19"/>
    <mergeCell ref="I18:I19"/>
    <mergeCell ref="H18:H19"/>
    <mergeCell ref="A9:A10"/>
    <mergeCell ref="A2:C2"/>
    <mergeCell ref="C12:D12"/>
    <mergeCell ref="C13:D13"/>
    <mergeCell ref="B10:B11"/>
    <mergeCell ref="C10:D11"/>
  </mergeCells>
  <conditionalFormatting sqref="A9:C9 E9:E11">
    <cfRule type="expression" dxfId="82" priority="177" stopIfTrue="1">
      <formula>$B$12="N/A"</formula>
    </cfRule>
  </conditionalFormatting>
  <conditionalFormatting sqref="A9:D9 A11 A12:D13 H15:I15">
    <cfRule type="expression" dxfId="81" priority="148" stopIfTrue="1">
      <formula>$B$12="N/A"</formula>
    </cfRule>
  </conditionalFormatting>
  <conditionalFormatting sqref="B13">
    <cfRule type="expression" dxfId="80" priority="154" stopIfTrue="1">
      <formula>$B$12="N/A"</formula>
    </cfRule>
  </conditionalFormatting>
  <conditionalFormatting sqref="B10:C10">
    <cfRule type="expression" dxfId="79" priority="152" stopIfTrue="1">
      <formula>$B$12="N/A"</formula>
    </cfRule>
  </conditionalFormatting>
  <conditionalFormatting sqref="F20">
    <cfRule type="cellIs" dxfId="78" priority="147" operator="greaterThan">
      <formula>$G$20</formula>
    </cfRule>
  </conditionalFormatting>
  <conditionalFormatting sqref="F21">
    <cfRule type="cellIs" dxfId="76" priority="77" operator="greaterThan">
      <formula>$G$21</formula>
    </cfRule>
  </conditionalFormatting>
  <conditionalFormatting sqref="F22">
    <cfRule type="cellIs" dxfId="75" priority="15" operator="greaterThan">
      <formula>$G$22</formula>
    </cfRule>
  </conditionalFormatting>
  <conditionalFormatting sqref="F23">
    <cfRule type="cellIs" dxfId="74" priority="14" operator="greaterThan">
      <formula>$G$23</formula>
    </cfRule>
  </conditionalFormatting>
  <conditionalFormatting sqref="F24">
    <cfRule type="cellIs" dxfId="73" priority="13" operator="greaterThan">
      <formula>$G$24</formula>
    </cfRule>
  </conditionalFormatting>
  <conditionalFormatting sqref="F25">
    <cfRule type="cellIs" dxfId="72" priority="12" operator="greaterThan">
      <formula>$G$25</formula>
    </cfRule>
  </conditionalFormatting>
  <conditionalFormatting sqref="F26">
    <cfRule type="cellIs" dxfId="71" priority="11" operator="greaterThan">
      <formula>$G$26</formula>
    </cfRule>
  </conditionalFormatting>
  <conditionalFormatting sqref="F27">
    <cfRule type="cellIs" dxfId="70" priority="10" operator="greaterThan">
      <formula>$G$27</formula>
    </cfRule>
  </conditionalFormatting>
  <conditionalFormatting sqref="F28">
    <cfRule type="cellIs" dxfId="69" priority="9" operator="greaterThan">
      <formula>$G$28</formula>
    </cfRule>
  </conditionalFormatting>
  <conditionalFormatting sqref="F29">
    <cfRule type="cellIs" dxfId="68" priority="8" operator="greaterThan">
      <formula>$G$29</formula>
    </cfRule>
  </conditionalFormatting>
  <conditionalFormatting sqref="F30">
    <cfRule type="cellIs" dxfId="67" priority="7" operator="greaterThan">
      <formula>$G$30</formula>
    </cfRule>
  </conditionalFormatting>
  <conditionalFormatting sqref="F31">
    <cfRule type="cellIs" dxfId="66" priority="6" operator="greaterThan">
      <formula>$G$31</formula>
    </cfRule>
  </conditionalFormatting>
  <conditionalFormatting sqref="F2:H4 I3 F5:I5">
    <cfRule type="expression" dxfId="65" priority="103" stopIfTrue="1">
      <formula>$C$19="No"</formula>
    </cfRule>
  </conditionalFormatting>
  <conditionalFormatting sqref="H16">
    <cfRule type="expression" dxfId="62" priority="69">
      <formula>$I$16&gt;0</formula>
    </cfRule>
  </conditionalFormatting>
  <conditionalFormatting sqref="H35:I35">
    <cfRule type="cellIs" dxfId="61" priority="120" operator="lessThan">
      <formula>0</formula>
    </cfRule>
  </conditionalFormatting>
  <conditionalFormatting sqref="I4 I2">
    <cfRule type="expression" dxfId="60" priority="106" stopIfTrue="1">
      <formula>$C$19="No"</formula>
    </cfRule>
  </conditionalFormatting>
  <conditionalFormatting sqref="I10:I11">
    <cfRule type="expression" dxfId="59" priority="74">
      <formula>$I$16&lt;0</formula>
    </cfRule>
  </conditionalFormatting>
  <conditionalFormatting sqref="I16">
    <cfRule type="cellIs" dxfId="57" priority="116" operator="lessThan">
      <formula>0</formula>
    </cfRule>
    <cfRule type="expression" dxfId="56" priority="168" stopIfTrue="1">
      <formula>$B$12="N/A"</formula>
    </cfRule>
  </conditionalFormatting>
  <conditionalFormatting sqref="I20:I31">
    <cfRule type="expression" dxfId="55" priority="73">
      <formula>$I20&lt;$H20</formula>
    </cfRule>
  </conditionalFormatting>
  <conditionalFormatting sqref="J20">
    <cfRule type="expression" dxfId="52" priority="28">
      <formula>$G$20="Levy"</formula>
    </cfRule>
    <cfRule type="expression" dxfId="51" priority="27">
      <formula>$J$20=0</formula>
    </cfRule>
    <cfRule type="expression" dxfId="50" priority="80">
      <formula>$J20&lt;$G20</formula>
    </cfRule>
  </conditionalFormatting>
  <conditionalFormatting sqref="J21">
    <cfRule type="expression" dxfId="49" priority="17">
      <formula>$J$21=0</formula>
    </cfRule>
    <cfRule type="expression" dxfId="48" priority="43">
      <formula>$G$21="Levy"</formula>
    </cfRule>
    <cfRule type="expression" dxfId="47" priority="52">
      <formula>$J$21&lt;$G$21</formula>
    </cfRule>
  </conditionalFormatting>
  <conditionalFormatting sqref="J22">
    <cfRule type="expression" dxfId="46" priority="26">
      <formula>$J$22=0</formula>
    </cfRule>
    <cfRule type="expression" dxfId="45" priority="42">
      <formula>$G$22="Levy"</formula>
    </cfRule>
    <cfRule type="expression" dxfId="44" priority="53">
      <formula>$J$22&lt;$G$22</formula>
    </cfRule>
  </conditionalFormatting>
  <conditionalFormatting sqref="J23">
    <cfRule type="expression" dxfId="43" priority="25">
      <formula>$J$23=0</formula>
    </cfRule>
    <cfRule type="expression" dxfId="42" priority="40">
      <formula>$G$23="Levy"</formula>
    </cfRule>
    <cfRule type="expression" dxfId="41" priority="41">
      <formula>$J$23&lt;$G$23</formula>
    </cfRule>
  </conditionalFormatting>
  <conditionalFormatting sqref="J24">
    <cfRule type="expression" dxfId="40" priority="23">
      <formula>$J$24=0</formula>
    </cfRule>
    <cfRule type="expression" dxfId="39" priority="38">
      <formula>$G$24="Levy"</formula>
    </cfRule>
    <cfRule type="expression" dxfId="38" priority="39">
      <formula>$J$24&lt;$G$24</formula>
    </cfRule>
  </conditionalFormatting>
  <conditionalFormatting sqref="J25">
    <cfRule type="expression" dxfId="37" priority="36">
      <formula>$G$25="Levy"</formula>
    </cfRule>
    <cfRule type="expression" dxfId="36" priority="24">
      <formula>$J$25=0</formula>
    </cfRule>
    <cfRule type="expression" dxfId="35" priority="37">
      <formula>$J$25&lt;$G$25</formula>
    </cfRule>
  </conditionalFormatting>
  <conditionalFormatting sqref="J26">
    <cfRule type="expression" dxfId="34" priority="22">
      <formula>$J$26=0</formula>
    </cfRule>
    <cfRule type="expression" dxfId="33" priority="35">
      <formula>$J$26&lt;$G$26</formula>
    </cfRule>
    <cfRule type="expression" dxfId="32" priority="34">
      <formula>$G$26="Levy"</formula>
    </cfRule>
  </conditionalFormatting>
  <conditionalFormatting sqref="J27">
    <cfRule type="expression" dxfId="31" priority="21">
      <formula>$J$27=0</formula>
    </cfRule>
    <cfRule type="expression" dxfId="30" priority="32">
      <formula>$G$27="Levy"</formula>
    </cfRule>
    <cfRule type="expression" dxfId="29" priority="33">
      <formula>$J$27&lt;$G$27</formula>
    </cfRule>
  </conditionalFormatting>
  <conditionalFormatting sqref="J28">
    <cfRule type="expression" dxfId="28" priority="30">
      <formula>$J$28=0</formula>
    </cfRule>
    <cfRule type="expression" dxfId="27" priority="51">
      <formula>$J$28&lt;$G$28</formula>
    </cfRule>
    <cfRule type="expression" dxfId="26" priority="47">
      <formula>$G$28="Levy"</formula>
    </cfRule>
  </conditionalFormatting>
  <conditionalFormatting sqref="J29">
    <cfRule type="expression" dxfId="25" priority="46">
      <formula>$G$29="Levy"</formula>
    </cfRule>
    <cfRule type="expression" dxfId="24" priority="29">
      <formula>$J$29=0</formula>
    </cfRule>
    <cfRule type="expression" dxfId="23" priority="50">
      <formula>$J$29&lt;$G$29</formula>
    </cfRule>
  </conditionalFormatting>
  <conditionalFormatting sqref="J30">
    <cfRule type="expression" dxfId="22" priority="45">
      <formula>$G$30="Levy"</formula>
    </cfRule>
    <cfRule type="expression" dxfId="21" priority="20">
      <formula>$J$30=0</formula>
    </cfRule>
    <cfRule type="expression" dxfId="20" priority="49">
      <formula>$J$30&lt;$G$30</formula>
    </cfRule>
  </conditionalFormatting>
  <conditionalFormatting sqref="J31">
    <cfRule type="expression" dxfId="19" priority="44">
      <formula>$G$31="Levy"</formula>
    </cfRule>
    <cfRule type="expression" dxfId="18" priority="18">
      <formula>$J$31=0</formula>
    </cfRule>
    <cfRule type="expression" dxfId="17" priority="48">
      <formula>$J$31&lt;$G$31</formula>
    </cfRule>
  </conditionalFormatting>
  <conditionalFormatting sqref="J15:N15">
    <cfRule type="expression" dxfId="16" priority="96">
      <formula>$I$15="N/A"</formula>
    </cfRule>
    <cfRule type="expression" dxfId="15" priority="75">
      <formula>$I$16&lt;0</formula>
    </cfRule>
  </conditionalFormatting>
  <conditionalFormatting sqref="J16:N16">
    <cfRule type="expression" dxfId="14" priority="86">
      <formula>$I$16&lt;0</formula>
    </cfRule>
  </conditionalFormatting>
  <conditionalFormatting sqref="L32">
    <cfRule type="expression" dxfId="13" priority="82">
      <formula>$L$34=0</formula>
    </cfRule>
  </conditionalFormatting>
  <conditionalFormatting sqref="L34">
    <cfRule type="expression" dxfId="12" priority="84">
      <formula>$L$34&gt;0</formula>
    </cfRule>
    <cfRule type="expression" dxfId="11" priority="85">
      <formula>$L$34&lt;0</formula>
    </cfRule>
  </conditionalFormatting>
  <conditionalFormatting sqref="L36">
    <cfRule type="expression" dxfId="10" priority="55">
      <formula>$L$36&lt;0</formula>
    </cfRule>
  </conditionalFormatting>
  <conditionalFormatting sqref="L37:N37">
    <cfRule type="expression" dxfId="9" priority="56">
      <formula>$L$36&lt;0</formula>
    </cfRule>
  </conditionalFormatting>
  <conditionalFormatting sqref="M20:M31">
    <cfRule type="cellIs" dxfId="8" priority="127" operator="greaterThan">
      <formula>$E20</formula>
    </cfRule>
  </conditionalFormatting>
  <conditionalFormatting sqref="M32:N32">
    <cfRule type="expression" dxfId="7" priority="83">
      <formula>$L$34=0</formula>
    </cfRule>
  </conditionalFormatting>
  <pageMargins left="0.4" right="0.4" top="0.73" bottom="0.79" header="0.5" footer="0.49"/>
  <pageSetup scale="64"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5" id="{F533E96E-9F42-40B7-984F-046851FCFBCD}">
            <xm:f>Input!$C$19="No"</xm:f>
            <x14:dxf>
              <font>
                <color auto="1"/>
              </font>
              <fill>
                <patternFill>
                  <bgColor theme="4" tint="0.79998168889431442"/>
                </patternFill>
              </fill>
            </x14:dxf>
          </x14:cfRule>
          <xm:sqref>F20:F31</xm:sqref>
        </x14:conditionalFormatting>
        <x14:conditionalFormatting xmlns:xm="http://schemas.microsoft.com/office/excel/2006/main">
          <x14:cfRule type="expression" priority="4" id="{8DA61B3A-58DA-43CF-8B60-7F592DF49201}">
            <xm:f>Input!$C$19="No"</xm:f>
            <x14:dxf>
              <font>
                <color theme="0"/>
              </font>
              <fill>
                <patternFill>
                  <bgColor theme="0"/>
                </patternFill>
              </fill>
              <border>
                <left/>
                <right/>
                <top/>
                <bottom/>
                <vertical/>
                <horizontal/>
              </border>
            </x14:dxf>
          </x14:cfRule>
          <xm:sqref>F4:I4</xm:sqref>
        </x14:conditionalFormatting>
        <x14:conditionalFormatting xmlns:xm="http://schemas.microsoft.com/office/excel/2006/main">
          <x14:cfRule type="expression" priority="3" id="{620B6491-8146-40A1-BDB2-361DA1B3EE81}">
            <xm:f>Input!$C$19="No"</xm:f>
            <x14:dxf>
              <font>
                <color theme="0"/>
              </font>
            </x14:dxf>
          </x14:cfRule>
          <xm:sqref>H11</xm:sqref>
        </x14:conditionalFormatting>
        <x14:conditionalFormatting xmlns:xm="http://schemas.microsoft.com/office/excel/2006/main">
          <x14:cfRule type="expression" priority="1" id="{A19D1C0E-AFFB-4D34-ACD3-BCF0EA81F92B}">
            <xm:f>Input!$C$19="No"</xm:f>
            <x14:dxf>
              <font>
                <color theme="0"/>
              </font>
              <fill>
                <patternFill patternType="none">
                  <bgColor auto="1"/>
                </patternFill>
              </fill>
              <border>
                <left/>
                <right/>
                <top style="thin">
                  <color auto="1"/>
                </top>
                <bottom style="thin">
                  <color auto="1"/>
                </bottom>
                <vertical/>
                <horizontal/>
              </border>
            </x14:dxf>
          </x14:cfRule>
          <xm:sqref>I11</xm:sqref>
        </x14:conditionalFormatting>
        <x14:conditionalFormatting xmlns:xm="http://schemas.microsoft.com/office/excel/2006/main">
          <x14:cfRule type="expression" priority="16" id="{EBEB1B33-A073-4318-B255-232791041151}">
            <xm:f>Input!$C$19="Yes"</xm:f>
            <x14:dxf>
              <fill>
                <patternFill>
                  <bgColor theme="4" tint="0.79998168889431442"/>
                </patternFill>
              </fill>
            </x14:dxf>
          </x14:cfRule>
          <xm:sqref>I20:J31</xm:sqref>
        </x14:conditionalFormatting>
        <x14:conditionalFormatting xmlns:xm="http://schemas.microsoft.com/office/excel/2006/main">
          <x14:cfRule type="expression" priority="2" id="{E492F503-3361-48A4-B11E-37481AE91C6D}">
            <xm:f>Input!$C$19="No"</xm:f>
            <x14:dxf>
              <font>
                <color theme="0"/>
              </font>
            </x14:dxf>
          </x14:cfRule>
          <xm:sqref>J11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DC04F-2542-4255-A00C-302E7FC9059C}">
  <sheetPr>
    <tabColor theme="5" tint="0.79998168889431442"/>
  </sheetPr>
  <dimension ref="A1:AD86"/>
  <sheetViews>
    <sheetView showGridLines="0" workbookViewId="0">
      <selection activeCell="B19" sqref="B19"/>
    </sheetView>
  </sheetViews>
  <sheetFormatPr defaultColWidth="9.1796875" defaultRowHeight="13" zeroHeight="1" x14ac:dyDescent="0.3"/>
  <cols>
    <col min="1" max="1" width="44.81640625" style="181" bestFit="1" customWidth="1"/>
    <col min="2" max="2" width="16.54296875" style="181" customWidth="1"/>
    <col min="3" max="4" width="9.1796875" style="181" customWidth="1"/>
    <col min="5" max="5" width="10" style="181" customWidth="1"/>
    <col min="6" max="6" width="10.81640625" style="181" customWidth="1"/>
    <col min="7" max="7" width="10" style="181" customWidth="1"/>
    <col min="8" max="8" width="2.81640625" style="181" customWidth="1"/>
    <col min="9" max="9" width="13" style="181" customWidth="1"/>
    <col min="10" max="10" width="10.54296875" style="181" customWidth="1"/>
    <col min="11" max="12" width="9.1796875" style="181" customWidth="1"/>
    <col min="13" max="13" width="16.54296875" style="181" customWidth="1"/>
    <col min="14" max="14" width="7.453125" style="181" customWidth="1"/>
    <col min="15" max="15" width="13.81640625" style="181" customWidth="1"/>
    <col min="16" max="16" width="4.81640625" style="182" customWidth="1"/>
    <col min="17" max="30" width="9.1796875" style="182" customWidth="1"/>
    <col min="31" max="16384" width="9.1796875" style="181"/>
  </cols>
  <sheetData>
    <row r="1" spans="1:27" ht="15.5" thickBot="1" x14ac:dyDescent="0.35">
      <c r="E1" s="73"/>
      <c r="F1" s="86" t="s">
        <v>32</v>
      </c>
      <c r="G1" s="73"/>
      <c r="H1" s="73"/>
    </row>
    <row r="2" spans="1:27" ht="17.5" x14ac:dyDescent="0.35">
      <c r="A2" s="283" t="str">
        <f>Input!$C$9&amp;" Taxpayer Impact Calculation Page"</f>
        <v>2025 Taxpayer Impact Calculation Page</v>
      </c>
      <c r="B2" s="283"/>
      <c r="E2" s="85"/>
      <c r="F2" s="102" t="s">
        <v>30</v>
      </c>
      <c r="G2" s="84"/>
      <c r="H2" s="73"/>
    </row>
    <row r="3" spans="1:27" x14ac:dyDescent="0.3">
      <c r="E3" s="70"/>
      <c r="F3" s="100" t="s">
        <v>31</v>
      </c>
      <c r="G3" s="71"/>
      <c r="H3" s="73"/>
    </row>
    <row r="4" spans="1:27" ht="15.5" thickBot="1" x14ac:dyDescent="0.35">
      <c r="B4" s="2" t="s">
        <v>128</v>
      </c>
      <c r="E4" s="93"/>
      <c r="F4" s="101" t="s">
        <v>35</v>
      </c>
      <c r="G4" s="94"/>
      <c r="H4" s="73"/>
      <c r="M4" s="49" t="s">
        <v>107</v>
      </c>
    </row>
    <row r="5" spans="1:27" x14ac:dyDescent="0.3"/>
    <row r="6" spans="1:27" ht="15" x14ac:dyDescent="0.3">
      <c r="A6" s="2" t="str">
        <f>Extension!H10</f>
        <v xml:space="preserve">Actual % Change to Existing EAV for 2025 </v>
      </c>
      <c r="B6" s="183">
        <f>Extension!I10</f>
        <v>0</v>
      </c>
      <c r="L6" s="5" t="str">
        <f>(Input!$C$9-1)&amp; " Fair Cash / Market Value Home"</f>
        <v>2024 Fair Cash / Market Value Home</v>
      </c>
      <c r="M6" s="184"/>
      <c r="Q6" s="185"/>
    </row>
    <row r="7" spans="1:27" ht="15" x14ac:dyDescent="0.3">
      <c r="A7" s="2" t="str">
        <f>"Actual EAV Value for "&amp; Input!C9&amp;" "</f>
        <v xml:space="preserve">Actual EAV Value for 2025 </v>
      </c>
      <c r="B7" s="186">
        <f>Input!C30*(1+B6)</f>
        <v>0</v>
      </c>
      <c r="L7" s="5"/>
      <c r="M7" s="5"/>
      <c r="Q7" s="185"/>
      <c r="X7" s="245"/>
      <c r="Y7" s="245"/>
      <c r="Z7" s="245">
        <f>'Tax Calculator - Calculations'!Z7</f>
        <v>3.0163000000000002</v>
      </c>
      <c r="AA7" s="245"/>
    </row>
    <row r="8" spans="1:27" ht="15" x14ac:dyDescent="0.3">
      <c r="A8" s="48"/>
      <c r="B8" s="187"/>
      <c r="C8" s="1"/>
      <c r="L8" s="5" t="str">
        <f>"Estimated "&amp;Input!C9&amp;" Fair Cash Value Home"</f>
        <v>Estimated 2025 Fair Cash Value Home</v>
      </c>
      <c r="M8" s="186">
        <f>M6*(1+B6)</f>
        <v>0</v>
      </c>
      <c r="N8" s="50" t="s">
        <v>108</v>
      </c>
      <c r="O8" s="1"/>
      <c r="Q8" s="185"/>
      <c r="X8" s="245" t="s">
        <v>109</v>
      </c>
      <c r="Y8" s="163">
        <v>0.1</v>
      </c>
      <c r="Z8" s="245">
        <f>'Tax Calculator - Calculations'!Z8</f>
        <v>3.0354999999999999</v>
      </c>
      <c r="AA8" s="245">
        <v>10000</v>
      </c>
    </row>
    <row r="9" spans="1:27" ht="15" x14ac:dyDescent="0.3">
      <c r="A9" s="2" t="str">
        <f>Extension!H11</f>
        <v xml:space="preserve">Actual New Property for 2025 </v>
      </c>
      <c r="B9" s="186">
        <f>Extension!I11</f>
        <v>0</v>
      </c>
      <c r="C9" s="1"/>
      <c r="L9" s="5"/>
      <c r="M9" s="5"/>
      <c r="N9" s="50"/>
      <c r="O9" s="1"/>
      <c r="Q9" s="185"/>
      <c r="X9" s="245" t="s">
        <v>110</v>
      </c>
      <c r="Y9" s="163">
        <f>((1/3)*100)%</f>
        <v>0.33333333333333326</v>
      </c>
      <c r="Z9" s="245">
        <f>'[1]Tax Calculator - Calculations'!Z9</f>
        <v>1</v>
      </c>
      <c r="AA9" s="245">
        <v>8000</v>
      </c>
    </row>
    <row r="10" spans="1:27" ht="3" customHeight="1" x14ac:dyDescent="0.3">
      <c r="A10" s="2"/>
      <c r="B10" s="2"/>
      <c r="C10" s="1"/>
      <c r="L10" s="5"/>
      <c r="M10" s="5"/>
      <c r="N10" s="50"/>
      <c r="O10" s="1"/>
      <c r="Q10" s="185"/>
      <c r="X10" s="245"/>
      <c r="Y10" s="163"/>
      <c r="Z10" s="245"/>
      <c r="AA10" s="245"/>
    </row>
    <row r="11" spans="1:27" ht="15" x14ac:dyDescent="0.3">
      <c r="A11" s="2" t="str">
        <f>"Actual Total EAV Value for "&amp; Input!C9&amp;" "</f>
        <v xml:space="preserve">Actual Total EAV Value for 2025 </v>
      </c>
      <c r="B11" s="158">
        <f>IF(Input!$C$19="Yes",B7+B9,B7)</f>
        <v>0</v>
      </c>
      <c r="C11" s="50" t="s">
        <v>36</v>
      </c>
      <c r="L11" s="5" t="s">
        <v>111</v>
      </c>
      <c r="M11" s="186">
        <f>M8*N11</f>
        <v>0</v>
      </c>
      <c r="N11" s="164">
        <f>IF(Input!$C$13="Cook",'Tax Calculator - Extension'!Y8,'Tax Calculator - Extension'!Y9)</f>
        <v>0.33333333333333326</v>
      </c>
      <c r="O11" s="1"/>
      <c r="X11" s="245" t="s">
        <v>112</v>
      </c>
      <c r="Y11" s="163"/>
      <c r="Z11" s="245"/>
      <c r="AA11" s="245">
        <v>8000</v>
      </c>
    </row>
    <row r="12" spans="1:27" ht="15.75" customHeight="1" x14ac:dyDescent="0.3">
      <c r="B12" s="1"/>
      <c r="L12" s="5" t="s">
        <v>113</v>
      </c>
      <c r="M12" s="186">
        <f>M11*N12</f>
        <v>0</v>
      </c>
      <c r="N12" s="188">
        <f>IF(Input!$C$13="Cook",'Tax Calculator - Extension'!Z8,'Tax Calculator - Extension'!Z9)</f>
        <v>1</v>
      </c>
      <c r="O12" s="1"/>
      <c r="X12" s="245" t="s">
        <v>114</v>
      </c>
      <c r="Y12" s="163"/>
      <c r="Z12" s="245"/>
      <c r="AA12" s="245">
        <v>8000</v>
      </c>
    </row>
    <row r="13" spans="1:27" ht="15" x14ac:dyDescent="0.3">
      <c r="A13" s="5" t="str">
        <f>Input!$C$9-1&amp;" Operating Rate"</f>
        <v>2024 Operating Rate</v>
      </c>
      <c r="B13" s="189" t="e">
        <f>(Input!D63/Input!C30)*100</f>
        <v>#DIV/0!</v>
      </c>
      <c r="O13" s="1"/>
      <c r="X13" s="245" t="s">
        <v>115</v>
      </c>
      <c r="Y13" s="163"/>
      <c r="Z13" s="245"/>
      <c r="AA13" s="245">
        <v>8000</v>
      </c>
    </row>
    <row r="14" spans="1:27" ht="15.5" thickBot="1" x14ac:dyDescent="0.35">
      <c r="A14" s="5" t="str">
        <f>"Estimated "&amp;Input!$C$9&amp;" Operating Rate"</f>
        <v>Estimated 2025 Operating Rate</v>
      </c>
      <c r="B14" s="189" t="e">
        <f>Extension!N34</f>
        <v>#DIV/0!</v>
      </c>
      <c r="C14" s="190"/>
      <c r="J14" s="1"/>
      <c r="K14" s="1"/>
      <c r="L14" s="5"/>
      <c r="M14"/>
      <c r="N14" s="315" t="s">
        <v>116</v>
      </c>
      <c r="O14" s="315"/>
      <c r="P14" s="192"/>
      <c r="X14" s="245" t="s">
        <v>117</v>
      </c>
      <c r="Y14" s="163"/>
      <c r="Z14" s="245"/>
      <c r="AA14" s="245">
        <v>8000</v>
      </c>
    </row>
    <row r="15" spans="1:27" ht="15.75" customHeight="1" x14ac:dyDescent="0.3">
      <c r="A15" s="154" t="str">
        <f>"Actual "&amp;Input!C9&amp;" Bond &amp; Interest Tax Rate"</f>
        <v>Actual 2025 Bond &amp; Interest Tax Rate</v>
      </c>
      <c r="B15" s="201" t="e">
        <f>((Extension!I38*(1+B17)/B11*100)+0.0000001)</f>
        <v>#DIV/0!</v>
      </c>
      <c r="C15" s="50" t="s">
        <v>118</v>
      </c>
      <c r="E15" s="316" t="s">
        <v>129</v>
      </c>
      <c r="F15" s="317"/>
      <c r="G15" s="318"/>
      <c r="J15" s="1"/>
      <c r="K15" s="1"/>
      <c r="L15" s="5" t="s">
        <v>119</v>
      </c>
      <c r="M15" s="191">
        <f>IF(Input!$C$13="Cook",'Tax Calculator - Extension'!AA8,IF(Input!$C$13="DuPage",'Tax Calculator - Extension'!AA9,IF(Input!C13="Lake",'Tax Calculator - Extension'!AA11,IF(Input!C13="McHenry",'Tax Calculator - Extension'!AA12,IF(Input!C13="Kane",'Tax Calculator - Extension'!AA13,IF(Input!C13="Will",'Tax Calculator - Extension'!AA14,AA15))))))</f>
        <v>6000</v>
      </c>
      <c r="N15" s="315"/>
      <c r="O15" s="315"/>
      <c r="P15" s="192"/>
      <c r="X15" s="245"/>
      <c r="Y15" s="245"/>
      <c r="Z15" s="245"/>
      <c r="AA15" s="245">
        <v>6000</v>
      </c>
    </row>
    <row r="16" spans="1:27" ht="15" x14ac:dyDescent="0.3">
      <c r="A16" s="5"/>
      <c r="B16" s="5"/>
      <c r="C16" s="5"/>
      <c r="D16" s="5"/>
      <c r="E16" s="319"/>
      <c r="F16" s="320"/>
      <c r="G16" s="321"/>
      <c r="M16" s="1"/>
      <c r="N16" s="193"/>
      <c r="O16" s="193"/>
    </row>
    <row r="17" spans="1:15" ht="15.5" thickBot="1" x14ac:dyDescent="0.35">
      <c r="A17" s="5" t="s">
        <v>120</v>
      </c>
      <c r="B17" s="172"/>
      <c r="C17" s="50"/>
      <c r="E17" s="322"/>
      <c r="F17" s="323"/>
      <c r="G17" s="324"/>
      <c r="L17" s="5" t="s">
        <v>121</v>
      </c>
      <c r="M17" s="191">
        <f>M12-M15</f>
        <v>-6000</v>
      </c>
      <c r="N17" s="194"/>
      <c r="O17" s="3"/>
    </row>
    <row r="18" spans="1:15" ht="12.75" customHeight="1" x14ac:dyDescent="0.3">
      <c r="M18" s="1"/>
      <c r="N18" s="1"/>
      <c r="O18" s="1"/>
    </row>
    <row r="19" spans="1:15" ht="15" x14ac:dyDescent="0.3">
      <c r="A19" s="5" t="s">
        <v>122</v>
      </c>
      <c r="B19" s="175"/>
      <c r="C19" s="76" t="s">
        <v>123</v>
      </c>
      <c r="L19" s="5" t="str">
        <f>"Estimated Change in Tax Payment for "&amp; Input!C9</f>
        <v>Estimated Change in Tax Payment for 2025</v>
      </c>
      <c r="M19" s="191" t="e">
        <f>(M17*(B24)/100)-(((((M6*N11)*IF(Input!C13="Cook",Z7,Z9))-M15)*(B25)/100))</f>
        <v>#DIV/0!</v>
      </c>
      <c r="N19" s="1"/>
      <c r="O19" s="1"/>
    </row>
    <row r="20" spans="1:15" ht="15" x14ac:dyDescent="0.3">
      <c r="A20" s="5" t="s">
        <v>124</v>
      </c>
      <c r="B20" s="189" t="e">
        <f>((B19*(1+B17))/B11*100)</f>
        <v>#DIV/0!</v>
      </c>
      <c r="C20" s="76" t="s">
        <v>125</v>
      </c>
    </row>
    <row r="21" spans="1:15" ht="15.75" customHeight="1" x14ac:dyDescent="0.3">
      <c r="A21" s="5"/>
      <c r="B21" s="5"/>
      <c r="C21" s="76"/>
      <c r="I21" s="176" t="str">
        <f>"Note, the calculator is intended to estimate the "&amp;Input!C11&amp;" portion of the tax bill."</f>
        <v>Note, the calculator is intended to estimate the  portion of the tax bill.</v>
      </c>
      <c r="J21" s="177"/>
      <c r="K21" s="177"/>
      <c r="L21" s="177"/>
      <c r="M21" s="177"/>
      <c r="N21" s="177"/>
    </row>
    <row r="22" spans="1:15" ht="15.75" customHeight="1" x14ac:dyDescent="0.3">
      <c r="A22" s="5" t="str">
        <f>"Net "&amp;Input!$C$9&amp;" B&amp;I Tax Rate"</f>
        <v>Net 2025 B&amp;I Tax Rate</v>
      </c>
      <c r="B22" s="189" t="e">
        <f>(IF(B15&gt;B20,B15-B20,"Check Abatement"))</f>
        <v>#DIV/0!</v>
      </c>
      <c r="I22" s="306" t="s">
        <v>145</v>
      </c>
      <c r="J22" s="306"/>
      <c r="K22" s="306"/>
      <c r="L22" s="306"/>
      <c r="M22" s="306"/>
      <c r="N22" s="306"/>
      <c r="O22" s="306"/>
    </row>
    <row r="23" spans="1:15" ht="21" customHeight="1" x14ac:dyDescent="0.3">
      <c r="A23" s="5"/>
      <c r="B23" s="5"/>
      <c r="C23" s="76"/>
      <c r="I23" s="306"/>
      <c r="J23" s="306"/>
      <c r="K23" s="306"/>
      <c r="L23" s="306"/>
      <c r="M23" s="306"/>
      <c r="N23" s="306"/>
      <c r="O23" s="306"/>
    </row>
    <row r="24" spans="1:15" ht="15" x14ac:dyDescent="0.3">
      <c r="A24" s="5" t="str">
        <f>"Total "&amp;Input!$C$9&amp;" Tax Rate"</f>
        <v>Total 2025 Tax Rate</v>
      </c>
      <c r="B24" s="189" t="e">
        <f>B22+B14</f>
        <v>#DIV/0!</v>
      </c>
      <c r="I24" s="306"/>
      <c r="J24" s="306"/>
      <c r="K24" s="306"/>
      <c r="L24" s="306"/>
      <c r="M24" s="306"/>
      <c r="N24" s="306"/>
      <c r="O24" s="306"/>
    </row>
    <row r="25" spans="1:15" ht="15" x14ac:dyDescent="0.3">
      <c r="A25" s="5" t="s">
        <v>127</v>
      </c>
      <c r="B25" s="189" t="e">
        <f>Input!D69/Input!C30*100</f>
        <v>#DIV/0!</v>
      </c>
      <c r="I25" s="195"/>
      <c r="J25" s="195"/>
      <c r="K25" s="195"/>
      <c r="L25" s="195"/>
      <c r="M25" s="195"/>
      <c r="N25" s="195"/>
      <c r="O25" s="178"/>
    </row>
    <row r="26" spans="1:15" ht="15" x14ac:dyDescent="0.3">
      <c r="A26" s="5"/>
      <c r="B26" s="5"/>
      <c r="I26" s="195"/>
      <c r="J26" s="195"/>
      <c r="K26" s="195"/>
      <c r="L26" s="195"/>
      <c r="M26" s="195"/>
      <c r="N26" s="195"/>
      <c r="O26" s="178"/>
    </row>
    <row r="27" spans="1:15" s="182" customFormat="1" hidden="1" x14ac:dyDescent="0.3"/>
    <row r="28" spans="1:15" s="182" customFormat="1" hidden="1" x14ac:dyDescent="0.3"/>
    <row r="29" spans="1:15" s="182" customFormat="1" hidden="1" x14ac:dyDescent="0.3"/>
    <row r="30" spans="1:15" s="182" customFormat="1" hidden="1" x14ac:dyDescent="0.3"/>
    <row r="31" spans="1:15" s="182" customFormat="1" hidden="1" x14ac:dyDescent="0.3"/>
    <row r="32" spans="1:15" s="182" customFormat="1" hidden="1" x14ac:dyDescent="0.3"/>
    <row r="33" s="182" customFormat="1" hidden="1" x14ac:dyDescent="0.3"/>
    <row r="34" s="182" customFormat="1" hidden="1" x14ac:dyDescent="0.3"/>
    <row r="35" s="182" customFormat="1" hidden="1" x14ac:dyDescent="0.3"/>
    <row r="36" s="182" customFormat="1" hidden="1" x14ac:dyDescent="0.3"/>
    <row r="37" s="182" customFormat="1" hidden="1" x14ac:dyDescent="0.3"/>
    <row r="38" s="182" customFormat="1" hidden="1" x14ac:dyDescent="0.3"/>
    <row r="39" s="182" customFormat="1" hidden="1" x14ac:dyDescent="0.3"/>
    <row r="40" s="182" customFormat="1" hidden="1" x14ac:dyDescent="0.3"/>
    <row r="41" s="182" customFormat="1" hidden="1" x14ac:dyDescent="0.3"/>
    <row r="42" s="182" customFormat="1" hidden="1" x14ac:dyDescent="0.3"/>
    <row r="43" s="182" customFormat="1" hidden="1" x14ac:dyDescent="0.3"/>
    <row r="44" s="182" customFormat="1" hidden="1" x14ac:dyDescent="0.3"/>
    <row r="45" s="182" customFormat="1" hidden="1" x14ac:dyDescent="0.3"/>
    <row r="46" s="182" customFormat="1" hidden="1" x14ac:dyDescent="0.3"/>
    <row r="47" s="182" customFormat="1" hidden="1" x14ac:dyDescent="0.3"/>
    <row r="48" s="182" customFormat="1" hidden="1" x14ac:dyDescent="0.3"/>
    <row r="49" s="182" customFormat="1" hidden="1" x14ac:dyDescent="0.3"/>
    <row r="50" s="182" customFormat="1" hidden="1" x14ac:dyDescent="0.3"/>
    <row r="51" s="182" customFormat="1" hidden="1" x14ac:dyDescent="0.3"/>
    <row r="52" s="182" customFormat="1" hidden="1" x14ac:dyDescent="0.3"/>
    <row r="53" s="182" customFormat="1" hidden="1" x14ac:dyDescent="0.3"/>
    <row r="54" s="182" customFormat="1" hidden="1" x14ac:dyDescent="0.3"/>
    <row r="55" s="182" customFormat="1" hidden="1" x14ac:dyDescent="0.3"/>
    <row r="56" s="182" customFormat="1" hidden="1" x14ac:dyDescent="0.3"/>
    <row r="57" s="182" customFormat="1" hidden="1" x14ac:dyDescent="0.3"/>
    <row r="58" s="182" customFormat="1" hidden="1" x14ac:dyDescent="0.3"/>
    <row r="59" s="182" customFormat="1" hidden="1" x14ac:dyDescent="0.3"/>
    <row r="60" s="182" customFormat="1" hidden="1" x14ac:dyDescent="0.3"/>
    <row r="61" s="182" customFormat="1" hidden="1" x14ac:dyDescent="0.3"/>
    <row r="62" s="182" customFormat="1" hidden="1" x14ac:dyDescent="0.3"/>
    <row r="63" s="182" customFormat="1" hidden="1" x14ac:dyDescent="0.3"/>
    <row r="64" s="182" customFormat="1" hidden="1" x14ac:dyDescent="0.3"/>
    <row r="65" s="182" customFormat="1" hidden="1" x14ac:dyDescent="0.3"/>
    <row r="66" s="182" customFormat="1" hidden="1" x14ac:dyDescent="0.3"/>
    <row r="67" s="182" customFormat="1" hidden="1" x14ac:dyDescent="0.3"/>
    <row r="68" s="182" customFormat="1" hidden="1" x14ac:dyDescent="0.3"/>
    <row r="69" s="182" customFormat="1" hidden="1" x14ac:dyDescent="0.3"/>
    <row r="70" s="182" customFormat="1" hidden="1" x14ac:dyDescent="0.3"/>
    <row r="71" s="182" customFormat="1" hidden="1" x14ac:dyDescent="0.3"/>
    <row r="72" s="182" customFormat="1" hidden="1" x14ac:dyDescent="0.3"/>
    <row r="73" s="182" customFormat="1" hidden="1" x14ac:dyDescent="0.3"/>
    <row r="74" s="182" customFormat="1" hidden="1" x14ac:dyDescent="0.3"/>
    <row r="75" s="182" customFormat="1" hidden="1" x14ac:dyDescent="0.3"/>
    <row r="76" s="182" customFormat="1" hidden="1" x14ac:dyDescent="0.3"/>
    <row r="77" s="182" customFormat="1" hidden="1" x14ac:dyDescent="0.3"/>
    <row r="78" s="182" customFormat="1" hidden="1" x14ac:dyDescent="0.3"/>
    <row r="79" s="182" customFormat="1" hidden="1" x14ac:dyDescent="0.3"/>
    <row r="80" s="182" customFormat="1" hidden="1" x14ac:dyDescent="0.3"/>
    <row r="81" spans="1:15" s="182" customFormat="1" hidden="1" x14ac:dyDescent="0.3"/>
    <row r="82" spans="1:15" s="182" customFormat="1" hidden="1" x14ac:dyDescent="0.3"/>
    <row r="83" spans="1:15" s="182" customFormat="1" hidden="1" x14ac:dyDescent="0.3"/>
    <row r="84" spans="1:15" s="182" customFormat="1" hidden="1" x14ac:dyDescent="0.3"/>
    <row r="85" spans="1:15" hidden="1" x14ac:dyDescent="0.3">
      <c r="A85" s="182"/>
      <c r="B85" s="182"/>
      <c r="C85" s="182"/>
      <c r="I85" s="182"/>
      <c r="J85" s="182"/>
      <c r="K85" s="182"/>
      <c r="L85" s="182"/>
      <c r="M85" s="182"/>
      <c r="N85" s="182"/>
      <c r="O85" s="182"/>
    </row>
    <row r="86" spans="1:15" hidden="1" x14ac:dyDescent="0.3">
      <c r="I86" s="182"/>
      <c r="J86" s="182"/>
      <c r="K86" s="182"/>
      <c r="L86" s="182"/>
      <c r="M86" s="182"/>
      <c r="N86" s="182"/>
      <c r="O86" s="182"/>
    </row>
  </sheetData>
  <sheetProtection algorithmName="SHA-512" hashValue="3Mtc3Iv14YTsBUzAYAnDCJQEzDFE6IXwKlMrUxAFImFB5kKLQjlxf6Jiveqjjz+XTGbtC52YGRuDEI5eAizIqw==" saltValue="cKNryoczkK8mIjMeE6uuOg==" spinCount="100000" sheet="1" objects="1" scenarios="1"/>
  <mergeCells count="4">
    <mergeCell ref="A2:B2"/>
    <mergeCell ref="N14:O15"/>
    <mergeCell ref="E15:G17"/>
    <mergeCell ref="I22:O24"/>
  </mergeCells>
  <conditionalFormatting sqref="L6:L12">
    <cfRule type="expression" dxfId="3" priority="7" stopIfTrue="1">
      <formula>$B$20="N/A"</formula>
    </cfRule>
  </conditionalFormatting>
  <conditionalFormatting sqref="L19">
    <cfRule type="expression" dxfId="2" priority="6" stopIfTrue="1">
      <formula>$B$20="N/A"</formula>
    </cfRule>
  </conditionalFormatting>
  <conditionalFormatting sqref="M7 M9:M10 A13:A17 L14:L15 B16:D16 L17 A19:A20 A21:B21 A22:A26 B23 B26">
    <cfRule type="expression" dxfId="1" priority="4" stopIfTrue="1">
      <formula>$B$20="N/A"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expression" priority="2" id="{5A0052C1-56AF-45B7-813D-9F250A8FF7F7}">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cellIs" priority="3" operator="between" id="{9842BF34-BA5C-4C8E-894B-AF923C0D1579}">
            <xm:f>0</xm:f>
            <xm:f>Extension!$I$38</xm:f>
            <x14:dxf>
              <fill>
                <patternFill>
                  <bgColor rgb="FFCCFFCC"/>
                </patternFill>
              </fill>
            </x14:dxf>
          </x14:cfRule>
          <xm:sqref>B19</xm:sqref>
        </x14:conditionalFormatting>
        <x14:conditionalFormatting xmlns:xm="http://schemas.microsoft.com/office/excel/2006/main">
          <x14:cfRule type="expression" priority="1" id="{0EB83AB1-A648-4161-983F-346B42E46DD8}">
            <xm:f>Input!$C$19="No"</xm:f>
            <x14:dxf>
              <font>
                <color theme="0"/>
              </font>
            </x14:dxf>
          </x14:cfRule>
          <xm:sqref>C11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96575-EDED-4EFA-A1AE-ABB7E1B94763}">
  <sheetPr>
    <tabColor theme="7" tint="0.59999389629810485"/>
    <pageSetUpPr fitToPage="1"/>
  </sheetPr>
  <dimension ref="A1:U88"/>
  <sheetViews>
    <sheetView showGridLines="0" topLeftCell="B1" zoomScale="115" zoomScaleNormal="115" workbookViewId="0">
      <selection activeCell="S14" sqref="S14"/>
    </sheetView>
  </sheetViews>
  <sheetFormatPr defaultColWidth="0" defaultRowHeight="15.5" zeroHeight="1" x14ac:dyDescent="0.35"/>
  <cols>
    <col min="1" max="1" width="4.81640625" style="216" customWidth="1"/>
    <col min="2" max="2" width="1.1796875" style="216" customWidth="1"/>
    <col min="3" max="3" width="6.81640625" style="216" customWidth="1"/>
    <col min="4" max="4" width="11.54296875" style="216" customWidth="1"/>
    <col min="5" max="6" width="7.81640625" style="216" customWidth="1"/>
    <col min="7" max="7" width="6" style="216" customWidth="1"/>
    <col min="8" max="8" width="12" style="216" customWidth="1"/>
    <col min="9" max="9" width="16.1796875" style="216" customWidth="1"/>
    <col min="10" max="11" width="2.81640625" style="216" customWidth="1"/>
    <col min="12" max="12" width="7.81640625" style="216" customWidth="1"/>
    <col min="13" max="13" width="6" style="216" customWidth="1"/>
    <col min="14" max="14" width="4.453125" style="216" customWidth="1"/>
    <col min="15" max="15" width="5.81640625" style="216" customWidth="1"/>
    <col min="16" max="16" width="1.1796875" style="216" customWidth="1"/>
    <col min="17" max="17" width="3.453125" style="233" customWidth="1"/>
    <col min="18" max="18" width="28.1796875" style="233" bestFit="1" customWidth="1"/>
    <col min="19" max="19" width="36.81640625" style="233" customWidth="1"/>
    <col min="20" max="20" width="9.1796875" style="216" customWidth="1"/>
    <col min="21" max="21" width="9.1796875" style="216" hidden="1" customWidth="1"/>
    <col min="22" max="16384" width="0" style="216" hidden="1"/>
  </cols>
  <sheetData>
    <row r="1" spans="1:21" ht="12.5" customHeight="1" x14ac:dyDescent="0.35">
      <c r="A1" s="223"/>
      <c r="B1" s="223"/>
      <c r="C1" s="223"/>
      <c r="D1" s="223"/>
      <c r="E1" s="223"/>
      <c r="F1" s="223"/>
      <c r="G1" s="223"/>
      <c r="H1" s="223"/>
      <c r="I1" s="223"/>
      <c r="J1" s="223"/>
      <c r="K1" s="223"/>
      <c r="L1" s="223"/>
      <c r="M1" s="223"/>
      <c r="N1" s="223"/>
      <c r="O1" s="223"/>
      <c r="P1" s="223"/>
      <c r="Q1" s="232"/>
      <c r="R1" s="232"/>
      <c r="S1" s="232"/>
      <c r="T1" s="223"/>
      <c r="U1" s="215"/>
    </row>
    <row r="2" spans="1:21" ht="6" customHeight="1" x14ac:dyDescent="0.35">
      <c r="A2" s="223"/>
      <c r="B2" s="224"/>
      <c r="C2" s="224"/>
      <c r="D2" s="224"/>
      <c r="E2" s="224"/>
      <c r="F2" s="224"/>
      <c r="G2" s="224"/>
      <c r="H2" s="224"/>
      <c r="I2" s="224"/>
      <c r="J2" s="224"/>
      <c r="K2" s="224"/>
      <c r="L2" s="224"/>
      <c r="M2" s="224"/>
      <c r="N2" s="224"/>
      <c r="O2" s="224"/>
      <c r="P2" s="224"/>
      <c r="Q2" s="232"/>
      <c r="R2" s="232"/>
      <c r="S2" s="232"/>
      <c r="T2" s="223"/>
      <c r="U2" s="215"/>
    </row>
    <row r="3" spans="1:21" ht="12.5" customHeight="1" x14ac:dyDescent="0.35">
      <c r="A3" s="223"/>
      <c r="B3" s="224"/>
      <c r="C3" s="223"/>
      <c r="D3" s="223"/>
      <c r="E3" s="223"/>
      <c r="F3" s="223"/>
      <c r="G3" s="223"/>
      <c r="H3" s="223"/>
      <c r="I3" s="223"/>
      <c r="J3" s="223"/>
      <c r="K3" s="223"/>
      <c r="L3" s="223"/>
      <c r="M3" s="223"/>
      <c r="N3" s="223"/>
      <c r="O3" s="223"/>
      <c r="P3" s="224"/>
      <c r="Q3" s="232"/>
      <c r="R3" s="232"/>
      <c r="S3" s="232"/>
      <c r="T3" s="223"/>
      <c r="U3" s="215"/>
    </row>
    <row r="4" spans="1:21" ht="12.5" customHeight="1" x14ac:dyDescent="0.35">
      <c r="B4" s="220"/>
      <c r="C4" s="217"/>
      <c r="D4" s="325" t="s">
        <v>147</v>
      </c>
      <c r="E4" s="325"/>
      <c r="F4" s="325"/>
      <c r="G4" s="325"/>
      <c r="H4" s="325"/>
      <c r="I4" s="325"/>
      <c r="J4" s="325"/>
      <c r="K4" s="325"/>
      <c r="L4" s="325"/>
      <c r="M4" s="325"/>
      <c r="N4" s="217"/>
      <c r="P4" s="220"/>
    </row>
    <row r="5" spans="1:21" ht="12.5" customHeight="1" x14ac:dyDescent="0.35">
      <c r="A5" s="218"/>
      <c r="B5" s="220"/>
      <c r="C5" s="218"/>
      <c r="D5" s="325">
        <f>+S7</f>
        <v>0</v>
      </c>
      <c r="E5" s="325"/>
      <c r="F5" s="325"/>
      <c r="G5" s="325"/>
      <c r="H5" s="325"/>
      <c r="I5" s="325"/>
      <c r="J5" s="325"/>
      <c r="K5" s="325"/>
      <c r="L5" s="325"/>
      <c r="M5" s="325"/>
      <c r="N5" s="218"/>
      <c r="P5" s="220"/>
    </row>
    <row r="6" spans="1:21" x14ac:dyDescent="0.35">
      <c r="A6" s="214"/>
      <c r="B6" s="225"/>
      <c r="C6" s="214"/>
      <c r="D6" s="214"/>
      <c r="E6" s="214"/>
      <c r="F6" s="214"/>
      <c r="G6" s="214"/>
      <c r="H6" s="214"/>
      <c r="I6" s="214"/>
      <c r="J6" s="214"/>
      <c r="K6" s="214"/>
      <c r="L6" s="214"/>
      <c r="M6" s="214"/>
      <c r="N6" s="214"/>
      <c r="P6" s="220"/>
      <c r="R6" s="237" t="s">
        <v>157</v>
      </c>
      <c r="S6" s="216"/>
    </row>
    <row r="7" spans="1:21" x14ac:dyDescent="0.35">
      <c r="B7" s="226"/>
      <c r="C7" s="221" t="s">
        <v>148</v>
      </c>
      <c r="D7" s="83" t="str">
        <f>"A public hearing to approve a proposed property tax levy increase for "&amp;S7&amp;" "</f>
        <v xml:space="preserve">A public hearing to approve a proposed property tax levy increase for  </v>
      </c>
      <c r="E7" s="161"/>
      <c r="F7" s="161"/>
      <c r="G7" s="161"/>
      <c r="H7" s="161"/>
      <c r="I7" s="161"/>
      <c r="J7" s="161"/>
      <c r="K7" s="161"/>
      <c r="L7" s="161"/>
      <c r="M7" s="161"/>
      <c r="N7" s="161"/>
      <c r="O7" s="161"/>
      <c r="P7" s="220"/>
      <c r="R7" s="238" t="s">
        <v>158</v>
      </c>
      <c r="S7" s="239"/>
    </row>
    <row r="8" spans="1:21" x14ac:dyDescent="0.35">
      <c r="B8" s="226"/>
      <c r="C8" s="222"/>
      <c r="D8" s="161" t="str">
        <f>IF(Input!$C$14=0,Input!$C$13&amp;" County",IF(Input!$C$15=0,Input!$C$13&amp;" and "&amp;Input!$C$14&amp;" Counties",IF(Input!$C$16=0,Input!$C$13&amp;", "&amp;Input!$C$14&amp;" and "&amp;Input!$C$15&amp;" Counties",Input!$C$13&amp;", "&amp;Input!$C$14&amp;", "&amp;Input!$C$15&amp;" and "&amp;Input!$C$16&amp;" Counties")))&amp;", Illinois for "&amp;Input!C9&amp;" "</f>
        <v xml:space="preserve"> County, Illinois for 2025 </v>
      </c>
      <c r="E8" s="161"/>
      <c r="F8" s="161"/>
      <c r="G8" s="161"/>
      <c r="H8" s="161"/>
      <c r="I8" s="161"/>
      <c r="J8" s="161"/>
      <c r="K8" s="161"/>
      <c r="L8" s="161"/>
      <c r="M8" s="161"/>
      <c r="N8" s="161"/>
      <c r="O8" s="161"/>
      <c r="P8" s="220"/>
      <c r="R8" s="238" t="s">
        <v>159</v>
      </c>
      <c r="S8" s="247"/>
      <c r="T8" s="235" t="str">
        <f>TEXT(S8,"mmmm dd, yyyy")</f>
        <v>January 00, 1900</v>
      </c>
    </row>
    <row r="9" spans="1:21" x14ac:dyDescent="0.35">
      <c r="A9" s="219"/>
      <c r="B9" s="226"/>
      <c r="C9" s="222"/>
      <c r="D9" s="236" t="str">
        <f>"will be held on "&amp;T8&amp;" at "&amp;$S$10&amp;", "&amp;$S$11&amp;", IL "&amp;S12&amp;" at "&amp;$S$9&amp;"."</f>
        <v>will be held on January 00, 1900 at , , IL  at .</v>
      </c>
      <c r="E9" s="161"/>
      <c r="F9" s="161"/>
      <c r="G9" s="161"/>
      <c r="H9" s="161"/>
      <c r="I9" s="161"/>
      <c r="J9" s="161"/>
      <c r="K9" s="161"/>
      <c r="L9" s="161"/>
      <c r="M9" s="161"/>
      <c r="N9" s="161"/>
      <c r="O9" s="161"/>
      <c r="P9" s="220"/>
      <c r="R9" s="238" t="s">
        <v>167</v>
      </c>
      <c r="S9" s="248"/>
    </row>
    <row r="10" spans="1:21" x14ac:dyDescent="0.35">
      <c r="A10" s="219"/>
      <c r="B10" s="226"/>
      <c r="C10" s="222"/>
      <c r="D10" s="161"/>
      <c r="E10" s="161"/>
      <c r="F10" s="161"/>
      <c r="G10" s="161"/>
      <c r="H10" s="161"/>
      <c r="I10" s="161"/>
      <c r="J10" s="161"/>
      <c r="K10" s="161"/>
      <c r="L10" s="161"/>
      <c r="M10" s="161"/>
      <c r="N10" s="161"/>
      <c r="O10" s="161"/>
      <c r="P10" s="220"/>
      <c r="R10" s="238" t="s">
        <v>160</v>
      </c>
      <c r="S10" s="239"/>
    </row>
    <row r="11" spans="1:21" x14ac:dyDescent="0.35">
      <c r="A11" s="219"/>
      <c r="B11" s="227"/>
      <c r="C11" s="12"/>
      <c r="D11" s="161"/>
      <c r="E11" s="161"/>
      <c r="F11" s="161"/>
      <c r="G11" s="161"/>
      <c r="H11" s="161"/>
      <c r="I11" s="161"/>
      <c r="J11" s="161"/>
      <c r="K11" s="161"/>
      <c r="L11" s="161"/>
      <c r="M11" s="161"/>
      <c r="N11" s="161"/>
      <c r="O11" s="161"/>
      <c r="P11" s="220"/>
      <c r="R11" s="238" t="s">
        <v>161</v>
      </c>
      <c r="S11" s="239"/>
    </row>
    <row r="12" spans="1:21" x14ac:dyDescent="0.35">
      <c r="A12" s="223"/>
      <c r="B12" s="226"/>
      <c r="C12" s="12"/>
      <c r="D12" s="1" t="s">
        <v>156</v>
      </c>
      <c r="E12" s="1"/>
      <c r="F12" s="1"/>
      <c r="G12" s="1"/>
      <c r="H12" s="1"/>
      <c r="I12" s="1"/>
      <c r="J12" s="1"/>
      <c r="K12" s="1"/>
      <c r="L12" s="1"/>
      <c r="M12" s="1"/>
      <c r="N12" s="1"/>
      <c r="O12" s="1"/>
      <c r="P12" s="224"/>
      <c r="Q12" s="232"/>
      <c r="R12" s="238" t="s">
        <v>162</v>
      </c>
      <c r="S12" s="239"/>
      <c r="T12" s="223"/>
      <c r="U12" s="215"/>
    </row>
    <row r="13" spans="1:21" x14ac:dyDescent="0.35">
      <c r="A13" s="223"/>
      <c r="B13" s="226"/>
      <c r="C13" s="12"/>
      <c r="D13" s="1" t="str">
        <f>"district may contact "&amp;S14&amp;" at "&amp;S15&amp;"."</f>
        <v>district may contact  at .</v>
      </c>
      <c r="E13" s="1"/>
      <c r="F13" s="1"/>
      <c r="G13" s="1"/>
      <c r="H13" s="1"/>
      <c r="I13" s="1"/>
      <c r="J13" s="1"/>
      <c r="K13" s="1"/>
      <c r="L13" s="1"/>
      <c r="M13" s="1"/>
      <c r="N13" s="1"/>
      <c r="O13" s="1"/>
      <c r="P13" s="224"/>
      <c r="Q13" s="232"/>
      <c r="R13" s="238"/>
      <c r="S13" s="240"/>
      <c r="T13" s="223"/>
      <c r="U13" s="215"/>
    </row>
    <row r="14" spans="1:21" x14ac:dyDescent="0.35">
      <c r="A14" s="223"/>
      <c r="B14" s="226"/>
      <c r="C14" s="12"/>
      <c r="D14" s="1"/>
      <c r="E14" s="1"/>
      <c r="F14" s="1"/>
      <c r="G14" s="1"/>
      <c r="H14" s="1"/>
      <c r="I14" s="1"/>
      <c r="J14" s="1"/>
      <c r="K14" s="1"/>
      <c r="L14" s="1"/>
      <c r="M14" s="1"/>
      <c r="N14" s="1"/>
      <c r="O14" s="1"/>
      <c r="P14" s="224"/>
      <c r="Q14" s="232"/>
      <c r="R14" s="238" t="s">
        <v>163</v>
      </c>
      <c r="S14" s="239"/>
      <c r="T14" s="223"/>
      <c r="U14" s="215"/>
    </row>
    <row r="15" spans="1:21" x14ac:dyDescent="0.35">
      <c r="A15" s="223"/>
      <c r="B15" s="226"/>
      <c r="C15" s="12"/>
      <c r="D15" s="1"/>
      <c r="E15" s="1"/>
      <c r="F15" s="1"/>
      <c r="G15" s="1"/>
      <c r="H15" s="1"/>
      <c r="I15" s="1"/>
      <c r="J15" s="1"/>
      <c r="K15" s="1"/>
      <c r="L15" s="1"/>
      <c r="M15" s="1"/>
      <c r="N15" s="1"/>
      <c r="O15" s="1"/>
      <c r="P15" s="224"/>
      <c r="Q15" s="232"/>
      <c r="R15" s="238" t="s">
        <v>164</v>
      </c>
      <c r="S15" s="239"/>
      <c r="T15" s="223"/>
      <c r="U15" s="215"/>
    </row>
    <row r="16" spans="1:21" x14ac:dyDescent="0.35">
      <c r="A16" s="223"/>
      <c r="B16" s="226"/>
      <c r="C16" s="12"/>
      <c r="D16" s="1"/>
      <c r="E16" s="1"/>
      <c r="F16" s="1"/>
      <c r="G16" s="1"/>
      <c r="H16" s="1"/>
      <c r="I16" s="1"/>
      <c r="J16" s="1"/>
      <c r="K16" s="1"/>
      <c r="L16" s="1"/>
      <c r="M16" s="1"/>
      <c r="N16" s="1"/>
      <c r="O16" s="1"/>
      <c r="P16" s="224"/>
      <c r="Q16" s="232"/>
      <c r="R16" s="241" t="s">
        <v>165</v>
      </c>
      <c r="S16" s="232"/>
      <c r="T16" s="223"/>
      <c r="U16" s="215"/>
    </row>
    <row r="17" spans="1:21" x14ac:dyDescent="0.35">
      <c r="A17" s="223"/>
      <c r="B17" s="226"/>
      <c r="C17" s="228" t="s">
        <v>149</v>
      </c>
      <c r="D17" s="1" t="str">
        <f>"The corporate and special purpose property taxes extended or abated for "&amp;Input!C9-"1 "&amp;" were"</f>
        <v>The corporate and special purpose property taxes extended or abated for 2024 were</v>
      </c>
      <c r="E17" s="1"/>
      <c r="F17" s="1"/>
      <c r="G17" s="1"/>
      <c r="H17" s="1"/>
      <c r="I17" s="1"/>
      <c r="J17" s="1"/>
      <c r="K17" s="1"/>
      <c r="L17" s="1"/>
      <c r="M17" s="1"/>
      <c r="N17" s="1"/>
      <c r="O17" s="1"/>
      <c r="P17" s="224"/>
      <c r="Q17" s="232"/>
      <c r="R17" s="232"/>
      <c r="S17" s="232"/>
      <c r="T17" s="223"/>
      <c r="U17" s="215"/>
    </row>
    <row r="18" spans="1:21" x14ac:dyDescent="0.35">
      <c r="A18" s="223"/>
      <c r="B18" s="226"/>
      <c r="C18" s="12"/>
      <c r="D18" s="229">
        <f>Input!$D$63</f>
        <v>0</v>
      </c>
      <c r="E18" s="1"/>
      <c r="F18" s="1"/>
      <c r="G18" s="1"/>
      <c r="H18" s="1"/>
      <c r="I18" s="1"/>
      <c r="J18" s="1"/>
      <c r="K18" s="1"/>
      <c r="L18" s="1"/>
      <c r="M18" s="1"/>
      <c r="N18" s="1"/>
      <c r="O18" s="1"/>
      <c r="P18" s="224"/>
      <c r="Q18" s="232"/>
      <c r="R18" s="232"/>
      <c r="S18" s="232"/>
      <c r="T18" s="223"/>
      <c r="U18" s="215"/>
    </row>
    <row r="19" spans="1:21" x14ac:dyDescent="0.35">
      <c r="A19" s="223"/>
      <c r="B19" s="226"/>
      <c r="C19" s="12"/>
      <c r="D19" s="229"/>
      <c r="E19" s="1"/>
      <c r="F19" s="1"/>
      <c r="G19" s="1"/>
      <c r="H19" s="1"/>
      <c r="I19" s="1"/>
      <c r="J19" s="1"/>
      <c r="K19" s="1"/>
      <c r="L19" s="1"/>
      <c r="M19" s="1"/>
      <c r="N19" s="1"/>
      <c r="O19" s="1"/>
      <c r="P19" s="224"/>
      <c r="Q19" s="232"/>
      <c r="R19" s="232"/>
      <c r="S19" s="232"/>
      <c r="T19" s="223"/>
      <c r="U19" s="215"/>
    </row>
    <row r="20" spans="1:21" x14ac:dyDescent="0.35">
      <c r="A20" s="223"/>
      <c r="B20" s="226"/>
      <c r="C20" s="12"/>
      <c r="D20" s="1"/>
      <c r="E20" s="1"/>
      <c r="F20" s="1"/>
      <c r="G20" s="1"/>
      <c r="H20" s="1"/>
      <c r="I20" s="1"/>
      <c r="J20" s="1"/>
      <c r="K20" s="1"/>
      <c r="L20" s="1"/>
      <c r="M20" s="1"/>
      <c r="N20" s="1"/>
      <c r="O20" s="1"/>
      <c r="P20" s="224"/>
      <c r="Q20" s="232"/>
      <c r="R20" s="232"/>
      <c r="S20" s="232"/>
      <c r="T20" s="223"/>
      <c r="U20" s="215"/>
    </row>
    <row r="21" spans="1:21" x14ac:dyDescent="0.35">
      <c r="A21" s="223"/>
      <c r="B21" s="224"/>
      <c r="C21" s="12"/>
      <c r="D21" s="1" t="str">
        <f>"The proposed corporate and special purposed property taxes to be levied for "&amp;Input!C9 &amp;" are"</f>
        <v>The proposed corporate and special purposed property taxes to be levied for 2025 are</v>
      </c>
      <c r="E21" s="1"/>
      <c r="F21" s="1"/>
      <c r="G21" s="1"/>
      <c r="H21" s="1"/>
      <c r="I21" s="1"/>
      <c r="J21" s="1"/>
      <c r="K21" s="1"/>
      <c r="L21" s="1"/>
      <c r="M21" s="1"/>
      <c r="N21" s="1"/>
      <c r="O21" s="1"/>
      <c r="P21" s="224"/>
      <c r="Q21" s="232"/>
      <c r="R21" s="232"/>
      <c r="S21" s="232"/>
      <c r="T21" s="223"/>
      <c r="U21" s="215"/>
    </row>
    <row r="22" spans="1:21" x14ac:dyDescent="0.35">
      <c r="A22" s="223"/>
      <c r="B22" s="224"/>
      <c r="C22" s="12"/>
      <c r="D22" s="229" t="e">
        <f>Calculations!$J$28</f>
        <v>#DIV/0!</v>
      </c>
      <c r="E22" s="326" t="e">
        <f>(D22-D18)/D18</f>
        <v>#DIV/0!</v>
      </c>
      <c r="F22" s="326"/>
      <c r="G22" s="326"/>
      <c r="H22" s="326"/>
      <c r="I22" s="326"/>
      <c r="J22" s="326"/>
      <c r="K22" s="326"/>
      <c r="L22" s="326"/>
      <c r="M22" s="1"/>
      <c r="N22" s="1"/>
      <c r="O22" s="1"/>
      <c r="P22" s="224"/>
      <c r="Q22" s="232"/>
      <c r="R22" s="232"/>
      <c r="S22" s="232"/>
      <c r="T22" s="223"/>
      <c r="U22" s="215"/>
    </row>
    <row r="23" spans="1:21" x14ac:dyDescent="0.35">
      <c r="A23" s="223"/>
      <c r="B23" s="224"/>
      <c r="C23" s="12"/>
      <c r="D23" s="229"/>
      <c r="E23" s="231"/>
      <c r="F23" s="231"/>
      <c r="G23" s="231"/>
      <c r="H23" s="231"/>
      <c r="I23" s="231"/>
      <c r="J23" s="231"/>
      <c r="K23" s="231"/>
      <c r="L23" s="231"/>
      <c r="M23" s="1"/>
      <c r="N23" s="1"/>
      <c r="O23" s="1"/>
      <c r="P23" s="224"/>
      <c r="Q23" s="232"/>
      <c r="R23" s="232"/>
      <c r="S23" s="232"/>
      <c r="T23" s="223"/>
      <c r="U23" s="215"/>
    </row>
    <row r="24" spans="1:21" x14ac:dyDescent="0.35">
      <c r="A24" s="223"/>
      <c r="B24" s="224"/>
      <c r="C24" s="12"/>
      <c r="D24" s="1"/>
      <c r="E24" s="1"/>
      <c r="F24" s="1"/>
      <c r="G24" s="1"/>
      <c r="H24" s="1"/>
      <c r="I24" s="1"/>
      <c r="J24" s="1"/>
      <c r="K24" s="1"/>
      <c r="L24" s="1"/>
      <c r="M24" s="1"/>
      <c r="N24" s="1"/>
      <c r="O24" s="1"/>
      <c r="P24" s="224"/>
      <c r="Q24" s="232"/>
      <c r="R24" s="232"/>
      <c r="S24" s="232"/>
      <c r="T24" s="223"/>
      <c r="U24" s="215"/>
    </row>
    <row r="25" spans="1:21" x14ac:dyDescent="0.35">
      <c r="A25" s="223"/>
      <c r="B25" s="224"/>
      <c r="C25" s="228" t="s">
        <v>150</v>
      </c>
      <c r="D25" s="1" t="str">
        <f>"The property taxes extended for debt services and public building commission leases for "&amp;Input!C9-"1 "&amp;" were"</f>
        <v>The property taxes extended for debt services and public building commission leases for 2024 were</v>
      </c>
      <c r="E25" s="1"/>
      <c r="F25" s="1"/>
      <c r="G25" s="1"/>
      <c r="H25" s="1"/>
      <c r="I25" s="1"/>
      <c r="J25" s="1"/>
      <c r="K25" s="1"/>
      <c r="L25" s="1"/>
      <c r="M25" s="1"/>
      <c r="N25" s="1"/>
      <c r="O25" s="1"/>
      <c r="P25" s="224"/>
      <c r="Q25" s="232"/>
      <c r="R25" s="232"/>
      <c r="S25" s="232"/>
      <c r="T25" s="223"/>
      <c r="U25" s="215"/>
    </row>
    <row r="26" spans="1:21" x14ac:dyDescent="0.35">
      <c r="A26" s="223"/>
      <c r="B26" s="224"/>
      <c r="C26" s="12"/>
      <c r="D26" s="229">
        <f>Input!D67</f>
        <v>0</v>
      </c>
      <c r="E26" s="1"/>
      <c r="F26" s="1"/>
      <c r="G26" s="1"/>
      <c r="H26" s="1"/>
      <c r="I26" s="1"/>
      <c r="J26" s="1"/>
      <c r="K26" s="1"/>
      <c r="L26" s="1"/>
      <c r="M26" s="1"/>
      <c r="N26" s="1"/>
      <c r="O26" s="1"/>
      <c r="P26" s="224"/>
      <c r="Q26" s="232"/>
      <c r="R26" s="232"/>
      <c r="S26" s="232"/>
      <c r="T26" s="223"/>
      <c r="U26" s="215"/>
    </row>
    <row r="27" spans="1:21" x14ac:dyDescent="0.35">
      <c r="A27" s="223"/>
      <c r="B27" s="224"/>
      <c r="C27" s="12"/>
      <c r="D27" s="229"/>
      <c r="E27" s="1"/>
      <c r="F27" s="1"/>
      <c r="G27" s="1"/>
      <c r="H27" s="1"/>
      <c r="I27" s="1"/>
      <c r="J27" s="1"/>
      <c r="K27" s="1"/>
      <c r="L27" s="1"/>
      <c r="M27" s="1"/>
      <c r="N27" s="1"/>
      <c r="O27" s="1"/>
      <c r="P27" s="224"/>
      <c r="Q27" s="232"/>
      <c r="R27" s="232"/>
      <c r="S27" s="232"/>
      <c r="T27" s="223"/>
      <c r="U27" s="215"/>
    </row>
    <row r="28" spans="1:21" x14ac:dyDescent="0.35">
      <c r="A28" s="223"/>
      <c r="B28" s="224"/>
      <c r="C28" s="12"/>
      <c r="D28" s="1"/>
      <c r="E28" s="1"/>
      <c r="F28" s="1"/>
      <c r="G28" s="1"/>
      <c r="H28" s="1"/>
      <c r="I28" s="1"/>
      <c r="J28" s="1"/>
      <c r="K28" s="1"/>
      <c r="L28" s="1"/>
      <c r="M28" s="1"/>
      <c r="N28" s="1"/>
      <c r="O28" s="1"/>
      <c r="P28" s="224"/>
      <c r="Q28" s="232"/>
      <c r="R28" s="232"/>
      <c r="S28" s="232"/>
      <c r="T28" s="223"/>
      <c r="U28" s="215"/>
    </row>
    <row r="29" spans="1:21" x14ac:dyDescent="0.35">
      <c r="A29" s="223"/>
      <c r="B29" s="224"/>
      <c r="C29" s="12"/>
      <c r="D29" s="1" t="str">
        <f>"The estimated property taxes to be levied for debt service and public building commission leases for "&amp;Input!C9 &amp;" are"</f>
        <v>The estimated property taxes to be levied for debt service and public building commission leases for 2025 are</v>
      </c>
      <c r="E29" s="1"/>
      <c r="F29" s="1"/>
      <c r="G29" s="1"/>
      <c r="H29" s="1"/>
      <c r="I29" s="1"/>
      <c r="J29" s="1"/>
      <c r="K29" s="1"/>
      <c r="L29" s="1"/>
      <c r="M29" s="1"/>
      <c r="N29" s="1"/>
      <c r="O29" s="1"/>
      <c r="P29" s="224"/>
      <c r="Q29" s="232"/>
      <c r="R29" s="232"/>
      <c r="S29" s="232"/>
      <c r="T29" s="223"/>
      <c r="U29" s="215"/>
    </row>
    <row r="30" spans="1:21" x14ac:dyDescent="0.35">
      <c r="A30" s="223"/>
      <c r="B30" s="224"/>
      <c r="C30" s="12"/>
      <c r="D30" s="229">
        <f>Calculations!J34</f>
        <v>0</v>
      </c>
      <c r="E30" s="1"/>
      <c r="F30" s="1"/>
      <c r="G30" s="1"/>
      <c r="H30" s="1"/>
      <c r="I30" s="1"/>
      <c r="J30" s="1"/>
      <c r="K30" s="1"/>
      <c r="L30" s="1"/>
      <c r="M30" s="1"/>
      <c r="N30" s="1"/>
      <c r="O30" s="1"/>
      <c r="P30" s="224"/>
      <c r="Q30" s="232"/>
      <c r="R30" s="232"/>
      <c r="S30" s="232"/>
      <c r="T30" s="223"/>
      <c r="U30" s="215"/>
    </row>
    <row r="31" spans="1:21" x14ac:dyDescent="0.35">
      <c r="A31" s="223"/>
      <c r="B31" s="224"/>
      <c r="C31" s="12"/>
      <c r="D31" s="229"/>
      <c r="E31" s="1"/>
      <c r="F31" s="1"/>
      <c r="G31" s="1"/>
      <c r="H31" s="1"/>
      <c r="I31" s="1"/>
      <c r="J31" s="1"/>
      <c r="K31" s="1"/>
      <c r="L31" s="1"/>
      <c r="M31" s="1"/>
      <c r="N31" s="1"/>
      <c r="O31" s="1"/>
      <c r="P31" s="224"/>
      <c r="Q31" s="232"/>
      <c r="R31" s="232"/>
      <c r="S31" s="232"/>
      <c r="T31" s="223"/>
      <c r="U31" s="215"/>
    </row>
    <row r="32" spans="1:21" x14ac:dyDescent="0.35">
      <c r="A32" s="223"/>
      <c r="B32" s="224"/>
      <c r="C32" s="12"/>
      <c r="D32" s="1"/>
      <c r="E32" s="1"/>
      <c r="F32" s="1"/>
      <c r="G32" s="1"/>
      <c r="H32" s="1"/>
      <c r="I32" s="1"/>
      <c r="J32" s="1"/>
      <c r="K32" s="1"/>
      <c r="L32" s="1"/>
      <c r="M32" s="1"/>
      <c r="N32" s="1"/>
      <c r="O32" s="1"/>
      <c r="P32" s="224"/>
      <c r="Q32" s="232"/>
      <c r="R32" s="232"/>
      <c r="S32" s="232"/>
      <c r="T32" s="223"/>
      <c r="U32" s="215"/>
    </row>
    <row r="33" spans="1:21" x14ac:dyDescent="0.35">
      <c r="A33" s="223"/>
      <c r="B33" s="224"/>
      <c r="C33" s="228" t="s">
        <v>151</v>
      </c>
      <c r="D33" s="1" t="str">
        <f>"The total property taxes extended or abated for "&amp;Input!C9-"1 "&amp;" were"</f>
        <v>The total property taxes extended or abated for 2024 were</v>
      </c>
      <c r="E33" s="1"/>
      <c r="F33" s="1"/>
      <c r="G33" s="1"/>
      <c r="H33" s="1"/>
      <c r="I33" s="1"/>
      <c r="J33" s="1"/>
      <c r="K33" s="1"/>
      <c r="L33" s="1"/>
      <c r="M33" s="1"/>
      <c r="N33" s="1"/>
      <c r="O33" s="1"/>
      <c r="P33" s="224"/>
      <c r="Q33" s="232"/>
      <c r="R33" s="232"/>
      <c r="S33" s="232"/>
      <c r="T33" s="223"/>
      <c r="U33" s="215"/>
    </row>
    <row r="34" spans="1:21" x14ac:dyDescent="0.35">
      <c r="A34" s="223"/>
      <c r="B34" s="224"/>
      <c r="C34" s="1"/>
      <c r="D34" s="229">
        <f>D18+D26</f>
        <v>0</v>
      </c>
      <c r="E34" s="1"/>
      <c r="F34" s="1"/>
      <c r="G34" s="1"/>
      <c r="H34" s="1"/>
      <c r="I34" s="1"/>
      <c r="J34" s="1"/>
      <c r="K34" s="1"/>
      <c r="L34" s="1"/>
      <c r="M34" s="1"/>
      <c r="N34" s="1"/>
      <c r="O34" s="1"/>
      <c r="P34" s="224"/>
      <c r="Q34" s="232"/>
      <c r="R34" s="232"/>
      <c r="S34" s="232"/>
      <c r="T34" s="223"/>
      <c r="U34" s="215"/>
    </row>
    <row r="35" spans="1:21" x14ac:dyDescent="0.35">
      <c r="A35" s="223"/>
      <c r="B35" s="224"/>
      <c r="C35" s="1"/>
      <c r="D35" s="1"/>
      <c r="E35" s="1"/>
      <c r="F35" s="1"/>
      <c r="G35" s="1"/>
      <c r="H35" s="1"/>
      <c r="I35" s="1"/>
      <c r="J35" s="1"/>
      <c r="K35" s="1"/>
      <c r="L35" s="1"/>
      <c r="M35" s="1"/>
      <c r="N35" s="1"/>
      <c r="O35" s="1"/>
      <c r="P35" s="224"/>
      <c r="Q35" s="232"/>
      <c r="R35" s="232"/>
      <c r="S35" s="232"/>
      <c r="T35" s="223"/>
      <c r="U35" s="215"/>
    </row>
    <row r="36" spans="1:21" x14ac:dyDescent="0.35">
      <c r="A36" s="223"/>
      <c r="B36" s="224"/>
      <c r="C36" s="1"/>
      <c r="D36" s="1" t="str">
        <f>"The estimated total property taxes to be levied for "&amp;Input!C9 &amp;" are"</f>
        <v>The estimated total property taxes to be levied for 2025 are</v>
      </c>
      <c r="E36" s="1"/>
      <c r="F36" s="1"/>
      <c r="G36" s="1"/>
      <c r="H36" s="1"/>
      <c r="I36" s="1"/>
      <c r="J36" s="1"/>
      <c r="K36" s="1"/>
      <c r="L36" s="1"/>
      <c r="M36" s="1"/>
      <c r="N36" s="1"/>
      <c r="O36" s="1"/>
      <c r="P36" s="224"/>
      <c r="Q36" s="232"/>
      <c r="R36" s="232"/>
      <c r="S36" s="232"/>
      <c r="T36" s="223"/>
      <c r="U36" s="215"/>
    </row>
    <row r="37" spans="1:21" x14ac:dyDescent="0.35">
      <c r="A37" s="223"/>
      <c r="B37" s="224"/>
      <c r="C37" s="1"/>
      <c r="D37" s="229" t="e">
        <f>D30+D22</f>
        <v>#DIV/0!</v>
      </c>
      <c r="E37" s="326" t="e">
        <f>(D37-D34)/D34</f>
        <v>#DIV/0!</v>
      </c>
      <c r="F37" s="326"/>
      <c r="G37" s="326"/>
      <c r="H37" s="326"/>
      <c r="I37" s="326"/>
      <c r="J37" s="326"/>
      <c r="K37" s="326"/>
      <c r="L37" s="326"/>
      <c r="M37" s="1"/>
      <c r="N37" s="1"/>
      <c r="O37" s="1"/>
      <c r="P37" s="224"/>
      <c r="Q37" s="232"/>
      <c r="R37" s="232"/>
      <c r="S37" s="232"/>
      <c r="T37" s="223"/>
      <c r="U37" s="215"/>
    </row>
    <row r="38" spans="1:21" x14ac:dyDescent="0.35">
      <c r="A38" s="223"/>
      <c r="B38" s="224"/>
      <c r="C38" s="1"/>
      <c r="D38" s="229"/>
      <c r="E38" s="231"/>
      <c r="F38" s="231"/>
      <c r="G38" s="231"/>
      <c r="H38" s="231"/>
      <c r="I38" s="231"/>
      <c r="J38" s="231"/>
      <c r="K38" s="231"/>
      <c r="L38" s="231"/>
      <c r="M38" s="1"/>
      <c r="N38" s="1"/>
      <c r="O38" s="1"/>
      <c r="P38" s="224"/>
      <c r="Q38" s="232"/>
      <c r="R38" s="232"/>
      <c r="S38" s="232"/>
      <c r="T38" s="223"/>
      <c r="U38" s="215"/>
    </row>
    <row r="39" spans="1:21" x14ac:dyDescent="0.35">
      <c r="A39" s="223"/>
      <c r="B39" s="224"/>
      <c r="C39" s="1"/>
      <c r="D39" s="229"/>
      <c r="E39" s="231"/>
      <c r="F39" s="231"/>
      <c r="G39" s="231"/>
      <c r="H39" s="231"/>
      <c r="I39" s="231"/>
      <c r="J39" s="231"/>
      <c r="K39" s="231"/>
      <c r="L39" s="231"/>
      <c r="M39" s="1"/>
      <c r="N39" s="1"/>
      <c r="O39" s="1"/>
      <c r="P39" s="224"/>
      <c r="Q39" s="232"/>
      <c r="R39" s="232"/>
      <c r="S39" s="232"/>
      <c r="T39" s="223"/>
      <c r="U39" s="215"/>
    </row>
    <row r="40" spans="1:21" x14ac:dyDescent="0.35">
      <c r="A40" s="223"/>
      <c r="B40" s="224"/>
      <c r="C40" s="1"/>
      <c r="D40" s="229"/>
      <c r="E40" s="231"/>
      <c r="F40" s="231"/>
      <c r="G40" s="231"/>
      <c r="H40" s="231"/>
      <c r="I40" s="231"/>
      <c r="J40" s="231"/>
      <c r="K40" s="231"/>
      <c r="L40" s="231"/>
      <c r="M40" s="1"/>
      <c r="N40" s="1"/>
      <c r="O40" s="1"/>
      <c r="P40" s="224"/>
      <c r="Q40" s="232"/>
      <c r="R40" s="232"/>
      <c r="S40" s="232"/>
      <c r="T40" s="223"/>
      <c r="U40" s="215"/>
    </row>
    <row r="41" spans="1:21" x14ac:dyDescent="0.35">
      <c r="A41" s="223"/>
      <c r="B41" s="224"/>
      <c r="C41" s="1"/>
      <c r="D41" s="229"/>
      <c r="E41" s="231"/>
      <c r="F41" s="231"/>
      <c r="G41" s="231"/>
      <c r="H41" s="231"/>
      <c r="I41" s="231"/>
      <c r="J41" s="231"/>
      <c r="K41" s="231"/>
      <c r="L41" s="231"/>
      <c r="M41" s="1"/>
      <c r="N41" s="1"/>
      <c r="O41" s="1"/>
      <c r="P41" s="224"/>
      <c r="Q41" s="232"/>
      <c r="R41" s="232"/>
      <c r="S41" s="232"/>
      <c r="T41" s="223"/>
      <c r="U41" s="215"/>
    </row>
    <row r="42" spans="1:21" x14ac:dyDescent="0.35">
      <c r="A42" s="223"/>
      <c r="B42" s="224"/>
      <c r="C42" s="1"/>
      <c r="D42" s="229"/>
      <c r="E42" s="231"/>
      <c r="F42" s="231"/>
      <c r="G42" s="231"/>
      <c r="H42" s="231"/>
      <c r="I42" s="231"/>
      <c r="J42" s="231"/>
      <c r="K42" s="231"/>
      <c r="L42" s="231"/>
      <c r="M42" s="1"/>
      <c r="N42" s="1"/>
      <c r="O42" s="1"/>
      <c r="P42" s="224"/>
      <c r="Q42" s="232"/>
      <c r="R42" s="232"/>
      <c r="S42" s="232"/>
      <c r="T42" s="223"/>
      <c r="U42" s="215"/>
    </row>
    <row r="43" spans="1:21" x14ac:dyDescent="0.35">
      <c r="A43" s="223"/>
      <c r="B43" s="224"/>
      <c r="C43" s="1"/>
      <c r="D43" s="229"/>
      <c r="E43" s="231"/>
      <c r="F43" s="231"/>
      <c r="G43" s="231"/>
      <c r="H43" s="231"/>
      <c r="I43" s="231"/>
      <c r="J43" s="231"/>
      <c r="K43" s="231"/>
      <c r="L43" s="231"/>
      <c r="M43" s="1"/>
      <c r="N43" s="1"/>
      <c r="O43" s="1"/>
      <c r="P43" s="224"/>
      <c r="Q43" s="232"/>
      <c r="R43" s="232"/>
      <c r="S43" s="232"/>
      <c r="T43" s="223"/>
      <c r="U43" s="215"/>
    </row>
    <row r="44" spans="1:21" x14ac:dyDescent="0.35">
      <c r="A44" s="223"/>
      <c r="B44" s="224"/>
      <c r="C44" s="1"/>
      <c r="D44" s="229"/>
      <c r="E44" s="231"/>
      <c r="F44" s="231"/>
      <c r="G44" s="231"/>
      <c r="H44" s="231"/>
      <c r="I44" s="231"/>
      <c r="J44" s="231"/>
      <c r="K44" s="231"/>
      <c r="L44" s="231"/>
      <c r="M44" s="1"/>
      <c r="N44" s="1"/>
      <c r="O44" s="1"/>
      <c r="P44" s="224"/>
      <c r="Q44" s="232"/>
      <c r="R44" s="232"/>
      <c r="S44" s="232"/>
      <c r="T44" s="223"/>
      <c r="U44" s="215"/>
    </row>
    <row r="45" spans="1:21" x14ac:dyDescent="0.35">
      <c r="A45" s="223"/>
      <c r="B45" s="224"/>
      <c r="C45" s="1"/>
      <c r="D45" s="229"/>
      <c r="E45" s="231"/>
      <c r="F45" s="231"/>
      <c r="G45" s="231"/>
      <c r="H45" s="231"/>
      <c r="I45" s="231"/>
      <c r="J45" s="231"/>
      <c r="K45" s="231"/>
      <c r="L45" s="231"/>
      <c r="M45" s="1"/>
      <c r="N45" s="1"/>
      <c r="O45" s="1"/>
      <c r="P45" s="224"/>
      <c r="Q45" s="232"/>
      <c r="R45" s="232"/>
      <c r="S45" s="232"/>
      <c r="T45" s="223"/>
      <c r="U45" s="215"/>
    </row>
    <row r="46" spans="1:21" x14ac:dyDescent="0.35">
      <c r="A46" s="223"/>
      <c r="B46" s="224"/>
      <c r="C46" s="1"/>
      <c r="D46" s="229"/>
      <c r="E46" s="231"/>
      <c r="F46" s="231"/>
      <c r="G46" s="231"/>
      <c r="H46" s="231"/>
      <c r="I46" s="231"/>
      <c r="J46" s="231"/>
      <c r="K46" s="231"/>
      <c r="L46" s="231"/>
      <c r="M46" s="1"/>
      <c r="N46" s="1"/>
      <c r="O46" s="1"/>
      <c r="P46" s="224"/>
      <c r="Q46" s="232"/>
      <c r="R46" s="232"/>
      <c r="S46" s="232"/>
      <c r="T46" s="223"/>
      <c r="U46" s="215"/>
    </row>
    <row r="47" spans="1:21" x14ac:dyDescent="0.35">
      <c r="A47" s="223"/>
      <c r="B47" s="224"/>
      <c r="C47" s="1"/>
      <c r="D47" s="229"/>
      <c r="E47" s="231"/>
      <c r="F47" s="231"/>
      <c r="G47" s="231"/>
      <c r="H47" s="231"/>
      <c r="I47" s="231"/>
      <c r="J47" s="231"/>
      <c r="K47" s="231"/>
      <c r="L47" s="231"/>
      <c r="M47" s="1"/>
      <c r="N47" s="1"/>
      <c r="O47" s="1"/>
      <c r="P47" s="224"/>
      <c r="Q47" s="232"/>
      <c r="R47" s="232"/>
      <c r="S47" s="232"/>
      <c r="T47" s="223"/>
      <c r="U47" s="215"/>
    </row>
    <row r="48" spans="1:21" x14ac:dyDescent="0.35">
      <c r="A48" s="223"/>
      <c r="B48" s="224"/>
      <c r="C48" s="1"/>
      <c r="D48" s="229"/>
      <c r="E48" s="231"/>
      <c r="F48" s="231"/>
      <c r="G48" s="231"/>
      <c r="H48" s="231"/>
      <c r="I48" s="231"/>
      <c r="J48" s="231"/>
      <c r="K48" s="231"/>
      <c r="L48" s="231"/>
      <c r="M48" s="1"/>
      <c r="N48" s="1"/>
      <c r="O48" s="1"/>
      <c r="P48" s="224"/>
      <c r="Q48" s="232"/>
      <c r="R48" s="232"/>
      <c r="S48" s="232"/>
      <c r="T48" s="223"/>
      <c r="U48" s="215"/>
    </row>
    <row r="49" spans="1:21" x14ac:dyDescent="0.35">
      <c r="A49" s="223"/>
      <c r="B49" s="224"/>
      <c r="C49" s="1"/>
      <c r="D49" s="1"/>
      <c r="E49" s="1"/>
      <c r="F49" s="1"/>
      <c r="G49" s="1"/>
      <c r="H49" s="1"/>
      <c r="I49" s="1"/>
      <c r="J49" s="1"/>
      <c r="K49" s="1"/>
      <c r="L49" s="1"/>
      <c r="M49" s="1"/>
      <c r="N49" s="1"/>
      <c r="O49" s="1"/>
      <c r="P49" s="224"/>
      <c r="Q49" s="232"/>
      <c r="R49" s="232"/>
      <c r="S49" s="232"/>
      <c r="T49" s="223"/>
      <c r="U49" s="215"/>
    </row>
    <row r="50" spans="1:21" ht="6" customHeight="1" x14ac:dyDescent="0.35">
      <c r="A50" s="223"/>
      <c r="B50" s="224"/>
      <c r="C50" s="230"/>
      <c r="D50" s="230"/>
      <c r="E50" s="230"/>
      <c r="F50" s="230"/>
      <c r="G50" s="230"/>
      <c r="H50" s="230"/>
      <c r="I50" s="230"/>
      <c r="J50" s="230"/>
      <c r="K50" s="230"/>
      <c r="L50" s="230"/>
      <c r="M50" s="230"/>
      <c r="N50" s="230"/>
      <c r="O50" s="230"/>
      <c r="P50" s="224"/>
      <c r="Q50" s="232"/>
      <c r="R50" s="232"/>
      <c r="S50" s="232"/>
      <c r="T50" s="223"/>
      <c r="U50" s="215"/>
    </row>
    <row r="51" spans="1:21" x14ac:dyDescent="0.35">
      <c r="A51" s="223"/>
      <c r="B51" s="223"/>
      <c r="C51" s="1"/>
      <c r="D51" s="1"/>
      <c r="E51" s="1"/>
      <c r="F51" s="1"/>
      <c r="G51" s="1"/>
      <c r="H51" s="1"/>
      <c r="I51" s="1"/>
      <c r="J51" s="1"/>
      <c r="K51" s="1"/>
      <c r="L51" s="1"/>
      <c r="M51" s="1"/>
      <c r="N51" s="1"/>
      <c r="O51" s="1"/>
      <c r="P51" s="223"/>
      <c r="Q51" s="232"/>
      <c r="R51" s="232"/>
      <c r="S51" s="232"/>
      <c r="T51" s="223"/>
      <c r="U51" s="215"/>
    </row>
    <row r="52" spans="1:21" hidden="1" x14ac:dyDescent="0.35">
      <c r="A52" s="215"/>
      <c r="B52" s="215"/>
      <c r="C52" s="181"/>
      <c r="D52" s="181"/>
      <c r="E52" s="181"/>
      <c r="F52" s="181"/>
      <c r="G52" s="181"/>
      <c r="H52" s="181"/>
      <c r="I52" s="181"/>
      <c r="J52" s="181"/>
      <c r="K52" s="181"/>
      <c r="L52" s="181"/>
      <c r="M52" s="181"/>
      <c r="N52" s="181"/>
      <c r="O52" s="181"/>
      <c r="P52" s="215"/>
      <c r="Q52" s="234"/>
      <c r="R52" s="234"/>
      <c r="S52" s="234"/>
      <c r="T52" s="215"/>
      <c r="U52" s="215"/>
    </row>
    <row r="53" spans="1:21" hidden="1" x14ac:dyDescent="0.35">
      <c r="A53" s="215"/>
      <c r="B53" s="215"/>
      <c r="C53" s="181"/>
      <c r="D53" s="181"/>
      <c r="E53" s="181"/>
      <c r="F53" s="181"/>
      <c r="G53" s="181"/>
      <c r="H53" s="181"/>
      <c r="I53" s="181"/>
      <c r="J53" s="181"/>
      <c r="K53" s="181"/>
      <c r="L53" s="181"/>
      <c r="M53" s="181"/>
      <c r="N53" s="181"/>
      <c r="O53" s="181"/>
      <c r="P53" s="215"/>
      <c r="Q53" s="234"/>
      <c r="R53" s="234"/>
      <c r="S53" s="234"/>
      <c r="T53" s="215"/>
      <c r="U53" s="215"/>
    </row>
    <row r="54" spans="1:21" hidden="1" x14ac:dyDescent="0.35">
      <c r="A54" s="215"/>
      <c r="B54" s="215"/>
      <c r="C54" s="181"/>
      <c r="D54" s="181"/>
      <c r="E54" s="181"/>
      <c r="F54" s="181"/>
      <c r="G54" s="181"/>
      <c r="H54" s="181"/>
      <c r="I54" s="181"/>
      <c r="J54" s="181"/>
      <c r="K54" s="181"/>
      <c r="L54" s="181"/>
      <c r="M54" s="181"/>
      <c r="N54" s="181"/>
      <c r="O54" s="181"/>
      <c r="P54" s="215"/>
      <c r="Q54" s="234"/>
      <c r="R54" s="234"/>
      <c r="S54" s="234"/>
      <c r="T54" s="215"/>
      <c r="U54" s="215"/>
    </row>
    <row r="55" spans="1:21" hidden="1" x14ac:dyDescent="0.35">
      <c r="A55" s="215"/>
      <c r="B55" s="215"/>
      <c r="C55" s="181"/>
      <c r="D55" s="181"/>
      <c r="E55" s="181"/>
      <c r="F55" s="181"/>
      <c r="G55" s="181"/>
      <c r="H55" s="181"/>
      <c r="I55" s="181"/>
      <c r="J55" s="181"/>
      <c r="K55" s="181"/>
      <c r="L55" s="181"/>
      <c r="M55" s="181"/>
      <c r="N55" s="181"/>
      <c r="O55" s="181"/>
      <c r="P55" s="215"/>
      <c r="Q55" s="234"/>
      <c r="R55" s="234"/>
      <c r="S55" s="234"/>
      <c r="T55" s="215"/>
      <c r="U55" s="215"/>
    </row>
    <row r="56" spans="1:21" hidden="1" x14ac:dyDescent="0.35">
      <c r="A56" s="215"/>
      <c r="B56" s="215"/>
      <c r="C56" s="181"/>
      <c r="D56" s="181"/>
      <c r="E56" s="181"/>
      <c r="F56" s="181"/>
      <c r="G56" s="181"/>
      <c r="H56" s="181"/>
      <c r="I56" s="181"/>
      <c r="J56" s="181"/>
      <c r="K56" s="181"/>
      <c r="L56" s="181"/>
      <c r="M56" s="181"/>
      <c r="N56" s="181"/>
      <c r="O56" s="181"/>
      <c r="P56" s="215"/>
      <c r="Q56" s="234"/>
      <c r="R56" s="234"/>
      <c r="S56" s="234"/>
      <c r="T56" s="215"/>
      <c r="U56" s="215"/>
    </row>
    <row r="57" spans="1:21" hidden="1" x14ac:dyDescent="0.35">
      <c r="A57" s="215"/>
      <c r="B57" s="215"/>
      <c r="C57" s="181"/>
      <c r="D57" s="181"/>
      <c r="E57" s="181"/>
      <c r="F57" s="181"/>
      <c r="G57" s="181"/>
      <c r="H57" s="181"/>
      <c r="I57" s="181"/>
      <c r="J57" s="181"/>
      <c r="K57" s="181"/>
      <c r="L57" s="181"/>
      <c r="M57" s="181"/>
      <c r="N57" s="181"/>
      <c r="O57" s="181"/>
      <c r="P57" s="215"/>
      <c r="Q57" s="234"/>
      <c r="R57" s="234"/>
      <c r="S57" s="234"/>
      <c r="T57" s="215"/>
      <c r="U57" s="215"/>
    </row>
    <row r="58" spans="1:21" hidden="1" x14ac:dyDescent="0.35">
      <c r="A58" s="215"/>
      <c r="B58" s="215"/>
      <c r="C58" s="181"/>
      <c r="D58" s="181"/>
      <c r="E58" s="181"/>
      <c r="F58" s="181"/>
      <c r="G58" s="181"/>
      <c r="H58" s="181"/>
      <c r="I58" s="181"/>
      <c r="J58" s="181"/>
      <c r="K58" s="181"/>
      <c r="L58" s="181"/>
      <c r="M58" s="181"/>
      <c r="N58" s="181"/>
      <c r="O58" s="181"/>
      <c r="P58" s="215"/>
      <c r="Q58" s="234"/>
      <c r="R58" s="234"/>
      <c r="S58" s="234"/>
      <c r="T58" s="215"/>
      <c r="U58" s="215"/>
    </row>
    <row r="59" spans="1:21" hidden="1" x14ac:dyDescent="0.35">
      <c r="A59" s="215"/>
      <c r="B59" s="215"/>
      <c r="C59" s="181"/>
      <c r="D59" s="181"/>
      <c r="E59" s="181"/>
      <c r="F59" s="181"/>
      <c r="G59" s="181"/>
      <c r="H59" s="181"/>
      <c r="I59" s="181"/>
      <c r="J59" s="181"/>
      <c r="K59" s="181"/>
      <c r="L59" s="181"/>
      <c r="M59" s="181"/>
      <c r="N59" s="181"/>
      <c r="O59" s="181"/>
      <c r="P59" s="215"/>
      <c r="Q59" s="234"/>
      <c r="R59" s="234"/>
      <c r="S59" s="234"/>
      <c r="T59" s="215"/>
      <c r="U59" s="215"/>
    </row>
    <row r="60" spans="1:21" hidden="1" x14ac:dyDescent="0.35">
      <c r="A60" s="215"/>
      <c r="B60" s="215"/>
      <c r="C60" s="181"/>
      <c r="D60" s="181"/>
      <c r="E60" s="181"/>
      <c r="F60" s="181"/>
      <c r="G60" s="181"/>
      <c r="H60" s="181"/>
      <c r="I60" s="181"/>
      <c r="J60" s="181"/>
      <c r="K60" s="181"/>
      <c r="L60" s="181"/>
      <c r="M60" s="181"/>
      <c r="N60" s="181"/>
      <c r="O60" s="181"/>
      <c r="P60" s="215"/>
      <c r="Q60" s="234"/>
      <c r="R60" s="234"/>
      <c r="S60" s="234"/>
      <c r="T60" s="215"/>
      <c r="U60" s="215"/>
    </row>
    <row r="61" spans="1:21" hidden="1" x14ac:dyDescent="0.35">
      <c r="A61" s="215"/>
      <c r="B61" s="215"/>
      <c r="C61" s="181"/>
      <c r="D61" s="181"/>
      <c r="E61" s="181"/>
      <c r="F61" s="181"/>
      <c r="G61" s="181"/>
      <c r="H61" s="181"/>
      <c r="I61" s="181"/>
      <c r="J61" s="181"/>
      <c r="K61" s="181"/>
      <c r="L61" s="181"/>
      <c r="M61" s="181"/>
      <c r="N61" s="181"/>
      <c r="O61" s="181"/>
      <c r="P61" s="215"/>
      <c r="Q61" s="234"/>
      <c r="R61" s="234"/>
      <c r="S61" s="234"/>
      <c r="T61" s="215"/>
      <c r="U61" s="215"/>
    </row>
    <row r="62" spans="1:21" ht="10.25" hidden="1" customHeight="1" x14ac:dyDescent="0.35">
      <c r="A62" s="215"/>
      <c r="B62" s="215"/>
      <c r="C62" s="181"/>
      <c r="D62" s="181"/>
      <c r="E62" s="181"/>
      <c r="F62" s="181"/>
      <c r="G62" s="181"/>
      <c r="H62" s="181"/>
      <c r="I62" s="181"/>
      <c r="J62" s="181"/>
      <c r="K62" s="181"/>
      <c r="L62" s="181"/>
      <c r="M62" s="181"/>
      <c r="N62" s="181"/>
      <c r="O62" s="181"/>
      <c r="P62" s="215"/>
      <c r="Q62" s="234"/>
      <c r="R62" s="234"/>
      <c r="S62" s="234"/>
      <c r="T62" s="215"/>
      <c r="U62" s="215"/>
    </row>
    <row r="63" spans="1:21" ht="11" hidden="1" customHeight="1" x14ac:dyDescent="0.35">
      <c r="A63" s="215"/>
      <c r="B63" s="215"/>
      <c r="C63" s="181"/>
      <c r="D63" s="181"/>
      <c r="E63" s="181"/>
      <c r="F63" s="181"/>
      <c r="G63" s="181"/>
      <c r="H63" s="181"/>
      <c r="I63" s="181"/>
      <c r="J63" s="181"/>
      <c r="K63" s="181"/>
      <c r="L63" s="181"/>
      <c r="M63" s="181"/>
      <c r="N63" s="181"/>
      <c r="O63" s="181"/>
      <c r="P63" s="215"/>
      <c r="Q63" s="234"/>
      <c r="R63" s="234"/>
      <c r="S63" s="234"/>
      <c r="T63" s="215"/>
      <c r="U63" s="215"/>
    </row>
    <row r="64" spans="1:21" ht="11" hidden="1" customHeight="1" x14ac:dyDescent="0.35">
      <c r="A64" s="215"/>
      <c r="B64" s="215"/>
      <c r="C64" s="181"/>
      <c r="D64" s="181"/>
      <c r="E64" s="181"/>
      <c r="F64" s="181"/>
      <c r="G64" s="181"/>
      <c r="H64" s="181"/>
      <c r="I64" s="181"/>
      <c r="J64" s="181"/>
      <c r="K64" s="181"/>
      <c r="L64" s="181"/>
      <c r="M64" s="181"/>
      <c r="N64" s="181"/>
      <c r="O64" s="181"/>
      <c r="P64" s="215"/>
      <c r="Q64" s="234"/>
      <c r="R64" s="234"/>
      <c r="S64" s="234"/>
      <c r="T64" s="215"/>
      <c r="U64" s="215"/>
    </row>
    <row r="65" spans="1:21" ht="11" hidden="1" customHeight="1" x14ac:dyDescent="0.35">
      <c r="A65" s="215"/>
      <c r="B65" s="215"/>
      <c r="C65" s="181"/>
      <c r="D65" s="181"/>
      <c r="E65" s="181"/>
      <c r="F65" s="181"/>
      <c r="G65" s="181"/>
      <c r="H65" s="181"/>
      <c r="I65" s="181"/>
      <c r="J65" s="181"/>
      <c r="K65" s="181"/>
      <c r="L65" s="181"/>
      <c r="M65" s="181"/>
      <c r="N65" s="181"/>
      <c r="O65" s="181"/>
      <c r="P65" s="215"/>
      <c r="Q65" s="234"/>
      <c r="R65" s="234"/>
      <c r="S65" s="234"/>
      <c r="T65" s="215"/>
      <c r="U65" s="215"/>
    </row>
    <row r="66" spans="1:21" ht="6" hidden="1" customHeight="1" x14ac:dyDescent="0.35">
      <c r="A66" s="215"/>
      <c r="B66" s="215"/>
      <c r="C66" s="181"/>
      <c r="D66" s="181"/>
      <c r="E66" s="181"/>
      <c r="F66" s="181"/>
      <c r="G66" s="181"/>
      <c r="H66" s="181"/>
      <c r="I66" s="181"/>
      <c r="J66" s="181"/>
      <c r="K66" s="181"/>
      <c r="L66" s="181"/>
      <c r="M66" s="181"/>
      <c r="N66" s="181"/>
      <c r="O66" s="181"/>
      <c r="P66" s="215"/>
      <c r="Q66" s="234"/>
      <c r="R66" s="234"/>
      <c r="S66" s="234"/>
      <c r="T66" s="215"/>
      <c r="U66" s="215"/>
    </row>
    <row r="67" spans="1:21" hidden="1" x14ac:dyDescent="0.35">
      <c r="A67" s="215"/>
      <c r="B67" s="215"/>
      <c r="C67" s="181"/>
      <c r="D67" s="181"/>
      <c r="E67" s="181"/>
      <c r="F67" s="181"/>
      <c r="G67" s="181"/>
      <c r="H67" s="181"/>
      <c r="I67" s="181"/>
      <c r="J67" s="181"/>
      <c r="K67" s="181"/>
      <c r="L67" s="181"/>
      <c r="M67" s="181"/>
      <c r="N67" s="181"/>
      <c r="O67" s="181"/>
      <c r="P67" s="215"/>
      <c r="Q67" s="234"/>
      <c r="R67" s="234"/>
      <c r="S67" s="234"/>
      <c r="T67" s="215"/>
      <c r="U67" s="215"/>
    </row>
    <row r="68" spans="1:21" ht="6.75" hidden="1" customHeight="1" x14ac:dyDescent="0.35">
      <c r="A68" s="215"/>
      <c r="B68" s="215"/>
      <c r="C68" s="181"/>
      <c r="D68" s="181"/>
      <c r="E68" s="181"/>
      <c r="F68" s="181"/>
      <c r="G68" s="181"/>
      <c r="H68" s="181"/>
      <c r="I68" s="181"/>
      <c r="J68" s="181"/>
      <c r="K68" s="181"/>
      <c r="L68" s="181"/>
      <c r="M68" s="181"/>
      <c r="N68" s="181"/>
      <c r="O68" s="181"/>
      <c r="P68" s="215"/>
      <c r="Q68" s="234"/>
      <c r="R68" s="234"/>
      <c r="S68" s="234"/>
      <c r="T68" s="215"/>
      <c r="U68" s="215"/>
    </row>
    <row r="69" spans="1:21" ht="8.25" hidden="1" customHeight="1" x14ac:dyDescent="0.35">
      <c r="A69" s="215"/>
      <c r="B69" s="215"/>
      <c r="C69" s="181"/>
      <c r="D69" s="181"/>
      <c r="E69" s="181"/>
      <c r="F69" s="181"/>
      <c r="G69" s="181"/>
      <c r="H69" s="181"/>
      <c r="I69" s="181"/>
      <c r="J69" s="181"/>
      <c r="K69" s="181"/>
      <c r="L69" s="181"/>
      <c r="M69" s="181"/>
      <c r="N69" s="181"/>
      <c r="O69" s="181"/>
      <c r="P69" s="215"/>
      <c r="Q69" s="234"/>
      <c r="R69" s="234"/>
      <c r="S69" s="234"/>
      <c r="T69" s="215"/>
      <c r="U69" s="215"/>
    </row>
    <row r="70" spans="1:21" hidden="1" x14ac:dyDescent="0.35">
      <c r="A70" s="215"/>
      <c r="B70" s="215"/>
      <c r="C70" s="181"/>
      <c r="D70" s="181"/>
      <c r="E70" s="181"/>
      <c r="F70" s="181"/>
      <c r="G70" s="181"/>
      <c r="H70" s="181"/>
      <c r="I70" s="181"/>
      <c r="J70" s="181"/>
      <c r="K70" s="181"/>
      <c r="L70" s="181"/>
      <c r="M70" s="181"/>
      <c r="N70" s="181"/>
      <c r="O70" s="181"/>
      <c r="P70" s="215"/>
      <c r="Q70" s="234"/>
      <c r="R70" s="234"/>
      <c r="S70" s="234"/>
      <c r="T70" s="215"/>
      <c r="U70" s="215"/>
    </row>
    <row r="71" spans="1:21" hidden="1" x14ac:dyDescent="0.35">
      <c r="A71" s="215"/>
      <c r="B71" s="215"/>
      <c r="C71" s="181"/>
      <c r="D71" s="181"/>
      <c r="E71" s="181"/>
      <c r="F71" s="181"/>
      <c r="G71" s="181"/>
      <c r="H71" s="181"/>
      <c r="I71" s="181"/>
      <c r="J71" s="181"/>
      <c r="K71" s="181"/>
      <c r="L71" s="181"/>
      <c r="M71" s="181"/>
      <c r="N71" s="181"/>
      <c r="O71" s="181"/>
      <c r="P71" s="215"/>
      <c r="Q71" s="234"/>
      <c r="R71" s="234"/>
      <c r="S71" s="234"/>
      <c r="T71" s="215"/>
      <c r="U71" s="215"/>
    </row>
    <row r="72" spans="1:21" hidden="1" x14ac:dyDescent="0.35">
      <c r="A72" s="215"/>
      <c r="B72" s="215"/>
      <c r="C72" s="181"/>
      <c r="D72" s="181"/>
      <c r="E72" s="181"/>
      <c r="F72" s="181"/>
      <c r="G72" s="181"/>
      <c r="H72" s="181"/>
      <c r="I72" s="181"/>
      <c r="J72" s="181"/>
      <c r="K72" s="181"/>
      <c r="L72" s="181"/>
      <c r="M72" s="181"/>
      <c r="N72" s="181"/>
      <c r="O72" s="181"/>
      <c r="P72" s="215"/>
      <c r="Q72" s="234"/>
      <c r="R72" s="234"/>
      <c r="S72" s="234"/>
      <c r="T72" s="215"/>
      <c r="U72" s="215"/>
    </row>
    <row r="73" spans="1:21" ht="15.75" hidden="1" customHeight="1" x14ac:dyDescent="0.35">
      <c r="A73" s="215"/>
      <c r="B73" s="215"/>
      <c r="C73" s="181"/>
      <c r="D73" s="181"/>
      <c r="E73" s="181"/>
      <c r="F73" s="181"/>
      <c r="G73" s="181"/>
      <c r="H73" s="181"/>
      <c r="I73" s="181"/>
      <c r="J73" s="181"/>
      <c r="K73" s="181"/>
      <c r="L73" s="181"/>
      <c r="M73" s="181"/>
      <c r="N73" s="181"/>
      <c r="O73" s="181"/>
      <c r="P73" s="215"/>
      <c r="Q73" s="234"/>
      <c r="R73" s="234"/>
      <c r="S73" s="234"/>
      <c r="T73" s="215"/>
      <c r="U73" s="215"/>
    </row>
    <row r="74" spans="1:21" ht="15" hidden="1" customHeight="1" x14ac:dyDescent="0.35">
      <c r="A74" s="215"/>
      <c r="B74" s="215"/>
      <c r="C74" s="181"/>
      <c r="D74" s="181"/>
      <c r="E74" s="181"/>
      <c r="F74" s="181"/>
      <c r="G74" s="181"/>
      <c r="H74" s="181"/>
      <c r="I74" s="181"/>
      <c r="J74" s="181"/>
      <c r="K74" s="181"/>
      <c r="L74" s="181"/>
      <c r="M74" s="181"/>
      <c r="N74" s="181"/>
      <c r="O74" s="181"/>
      <c r="P74" s="215"/>
      <c r="Q74" s="234"/>
      <c r="R74" s="234"/>
      <c r="S74" s="234"/>
      <c r="T74" s="215"/>
      <c r="U74" s="215"/>
    </row>
    <row r="75" spans="1:21" ht="15" hidden="1" customHeight="1" x14ac:dyDescent="0.35">
      <c r="A75" s="215"/>
      <c r="B75" s="215"/>
      <c r="C75" s="181"/>
      <c r="D75" s="181"/>
      <c r="E75" s="181"/>
      <c r="F75" s="181"/>
      <c r="G75" s="181"/>
      <c r="H75" s="181"/>
      <c r="I75" s="181"/>
      <c r="J75" s="181"/>
      <c r="K75" s="181"/>
      <c r="L75" s="181"/>
      <c r="M75" s="181"/>
      <c r="N75" s="181"/>
      <c r="O75" s="181"/>
      <c r="P75" s="215"/>
      <c r="Q75" s="234"/>
      <c r="R75" s="234"/>
      <c r="S75" s="234"/>
      <c r="T75" s="215"/>
      <c r="U75" s="215"/>
    </row>
    <row r="76" spans="1:21" ht="15" hidden="1" customHeight="1" x14ac:dyDescent="0.35">
      <c r="A76" s="215"/>
      <c r="B76" s="215"/>
      <c r="C76" s="181"/>
      <c r="D76" s="181"/>
      <c r="E76" s="181"/>
      <c r="F76" s="181"/>
      <c r="G76" s="181"/>
      <c r="H76" s="181"/>
      <c r="I76" s="181"/>
      <c r="J76" s="181"/>
      <c r="K76" s="181"/>
      <c r="L76" s="181"/>
      <c r="M76" s="181"/>
      <c r="N76" s="181"/>
      <c r="O76" s="181"/>
      <c r="P76" s="215"/>
      <c r="Q76" s="234"/>
      <c r="R76" s="234"/>
      <c r="S76" s="234"/>
      <c r="T76" s="215"/>
      <c r="U76" s="215"/>
    </row>
    <row r="77" spans="1:21" ht="15" hidden="1" customHeight="1" x14ac:dyDescent="0.35">
      <c r="A77" s="215"/>
      <c r="B77" s="215"/>
      <c r="C77" s="181"/>
      <c r="D77" s="181"/>
      <c r="E77" s="181"/>
      <c r="F77" s="181"/>
      <c r="G77" s="181"/>
      <c r="H77" s="181"/>
      <c r="I77" s="181"/>
      <c r="J77" s="181"/>
      <c r="K77" s="181"/>
      <c r="L77" s="181"/>
      <c r="M77" s="181"/>
      <c r="N77" s="181"/>
      <c r="O77" s="181"/>
      <c r="P77" s="215"/>
      <c r="Q77" s="234"/>
      <c r="R77" s="234"/>
      <c r="S77" s="234"/>
      <c r="T77" s="215"/>
      <c r="U77" s="215"/>
    </row>
    <row r="78" spans="1:21" hidden="1" x14ac:dyDescent="0.35">
      <c r="A78" s="215"/>
      <c r="B78" s="215"/>
      <c r="C78" s="181"/>
      <c r="D78" s="181"/>
      <c r="E78" s="181"/>
      <c r="F78" s="181"/>
      <c r="G78" s="181"/>
      <c r="H78" s="181"/>
      <c r="I78" s="181"/>
      <c r="J78" s="181"/>
      <c r="K78" s="181"/>
      <c r="L78" s="181"/>
      <c r="M78" s="181"/>
      <c r="N78" s="181"/>
      <c r="O78" s="181"/>
      <c r="P78" s="215"/>
      <c r="Q78" s="234"/>
      <c r="R78" s="234"/>
      <c r="S78" s="234"/>
      <c r="T78" s="215"/>
      <c r="U78" s="215"/>
    </row>
    <row r="79" spans="1:21" hidden="1" x14ac:dyDescent="0.35">
      <c r="A79" s="215"/>
      <c r="B79" s="215"/>
      <c r="C79" s="181"/>
      <c r="D79" s="181"/>
      <c r="E79" s="181"/>
      <c r="F79" s="181"/>
      <c r="G79" s="181"/>
      <c r="H79" s="181"/>
      <c r="I79" s="181"/>
      <c r="J79" s="181"/>
      <c r="K79" s="181"/>
      <c r="L79" s="181"/>
      <c r="M79" s="181"/>
      <c r="N79" s="181"/>
      <c r="O79" s="181"/>
      <c r="P79" s="215"/>
      <c r="Q79" s="234"/>
      <c r="R79" s="234"/>
      <c r="S79" s="234"/>
      <c r="T79" s="215"/>
      <c r="U79" s="215"/>
    </row>
    <row r="80" spans="1:21" hidden="1" x14ac:dyDescent="0.35">
      <c r="A80" s="215"/>
      <c r="B80" s="215"/>
      <c r="C80" s="181"/>
      <c r="D80" s="181"/>
      <c r="E80" s="181"/>
      <c r="F80" s="181"/>
      <c r="G80" s="181"/>
      <c r="H80" s="181"/>
      <c r="I80" s="181"/>
      <c r="J80" s="181"/>
      <c r="K80" s="181"/>
      <c r="L80" s="181"/>
      <c r="M80" s="181"/>
      <c r="N80" s="181"/>
      <c r="O80" s="181"/>
      <c r="P80" s="215"/>
      <c r="Q80" s="234"/>
      <c r="R80" s="234"/>
      <c r="S80" s="234"/>
      <c r="T80" s="215"/>
      <c r="U80" s="215"/>
    </row>
    <row r="81" spans="1:21" hidden="1" x14ac:dyDescent="0.35">
      <c r="A81" s="215"/>
      <c r="B81" s="215"/>
      <c r="C81" s="181"/>
      <c r="D81" s="181"/>
      <c r="E81" s="181"/>
      <c r="F81" s="181"/>
      <c r="G81" s="181"/>
      <c r="H81" s="181"/>
      <c r="I81" s="181"/>
      <c r="J81" s="181"/>
      <c r="K81" s="181"/>
      <c r="L81" s="181"/>
      <c r="M81" s="181"/>
      <c r="N81" s="181"/>
      <c r="O81" s="181"/>
      <c r="P81" s="215"/>
      <c r="Q81" s="234"/>
      <c r="R81" s="234"/>
      <c r="S81" s="234"/>
      <c r="T81" s="215"/>
      <c r="U81" s="215"/>
    </row>
    <row r="82" spans="1:21" hidden="1" x14ac:dyDescent="0.35">
      <c r="A82" s="215"/>
      <c r="B82" s="215"/>
      <c r="C82" s="181"/>
      <c r="D82" s="181"/>
      <c r="E82" s="181"/>
      <c r="F82" s="181"/>
      <c r="G82" s="181"/>
      <c r="H82" s="181"/>
      <c r="I82" s="181"/>
      <c r="J82" s="181"/>
      <c r="K82" s="181"/>
      <c r="L82" s="181"/>
      <c r="M82" s="181"/>
      <c r="N82" s="181"/>
      <c r="O82" s="181"/>
      <c r="P82" s="215"/>
      <c r="Q82" s="234"/>
      <c r="R82" s="234"/>
      <c r="S82" s="234"/>
      <c r="T82" s="215"/>
      <c r="U82" s="215"/>
    </row>
    <row r="83" spans="1:21" hidden="1" x14ac:dyDescent="0.35">
      <c r="A83" s="215"/>
      <c r="B83" s="215"/>
      <c r="C83" s="181"/>
      <c r="D83" s="181"/>
      <c r="E83" s="181"/>
      <c r="F83" s="181"/>
      <c r="G83" s="181"/>
      <c r="H83" s="181"/>
      <c r="I83" s="181"/>
      <c r="J83" s="181"/>
      <c r="K83" s="181"/>
      <c r="L83" s="181"/>
      <c r="M83" s="181"/>
      <c r="N83" s="181"/>
      <c r="O83" s="181"/>
      <c r="P83" s="215"/>
      <c r="Q83" s="234"/>
      <c r="R83" s="234"/>
      <c r="S83" s="234"/>
      <c r="T83" s="215"/>
      <c r="U83" s="215"/>
    </row>
    <row r="84" spans="1:21" hidden="1" x14ac:dyDescent="0.35">
      <c r="A84" s="215"/>
      <c r="B84" s="215"/>
      <c r="C84" s="181"/>
      <c r="D84" s="181"/>
      <c r="E84" s="181"/>
      <c r="F84" s="181"/>
      <c r="G84" s="181"/>
      <c r="H84" s="181"/>
      <c r="I84" s="181"/>
      <c r="J84" s="181"/>
      <c r="K84" s="181"/>
      <c r="L84" s="181"/>
      <c r="M84" s="181"/>
      <c r="N84" s="181"/>
      <c r="O84" s="181"/>
      <c r="P84" s="215"/>
      <c r="Q84" s="234"/>
      <c r="R84" s="234"/>
      <c r="S84" s="234"/>
      <c r="T84" s="215"/>
      <c r="U84" s="215"/>
    </row>
    <row r="85" spans="1:21" hidden="1" x14ac:dyDescent="0.35">
      <c r="A85" s="215"/>
      <c r="B85" s="215"/>
      <c r="C85" s="181"/>
      <c r="D85" s="181"/>
      <c r="E85" s="181"/>
      <c r="F85" s="181"/>
      <c r="G85" s="181"/>
      <c r="H85" s="181"/>
      <c r="I85" s="181"/>
      <c r="J85" s="181"/>
      <c r="K85" s="181"/>
      <c r="L85" s="181"/>
      <c r="M85" s="181"/>
      <c r="N85" s="181"/>
      <c r="O85" s="181"/>
      <c r="P85" s="215"/>
      <c r="Q85" s="234"/>
      <c r="R85" s="234"/>
      <c r="S85" s="234"/>
      <c r="T85" s="215"/>
      <c r="U85" s="215"/>
    </row>
    <row r="86" spans="1:21" hidden="1" x14ac:dyDescent="0.35">
      <c r="A86" s="215"/>
      <c r="B86" s="215"/>
      <c r="C86" s="181"/>
      <c r="D86" s="181"/>
      <c r="E86" s="181"/>
      <c r="F86" s="181"/>
      <c r="G86" s="181"/>
      <c r="H86" s="181"/>
      <c r="I86" s="181"/>
      <c r="J86" s="181"/>
      <c r="K86" s="181"/>
      <c r="L86" s="181"/>
      <c r="M86" s="181"/>
      <c r="N86" s="181"/>
      <c r="O86" s="181"/>
      <c r="P86" s="215"/>
      <c r="Q86" s="234"/>
      <c r="R86" s="234"/>
      <c r="S86" s="234"/>
      <c r="T86" s="215"/>
      <c r="U86" s="215"/>
    </row>
    <row r="87" spans="1:21" hidden="1" x14ac:dyDescent="0.35">
      <c r="C87" s="161"/>
      <c r="D87" s="161"/>
      <c r="E87" s="161"/>
      <c r="F87" s="161"/>
      <c r="G87" s="161"/>
      <c r="H87" s="161"/>
      <c r="I87" s="161"/>
      <c r="J87" s="161"/>
      <c r="K87" s="161"/>
      <c r="L87" s="161"/>
      <c r="M87" s="161"/>
      <c r="N87" s="161"/>
      <c r="O87" s="161"/>
    </row>
    <row r="88" spans="1:21" hidden="1" x14ac:dyDescent="0.35">
      <c r="C88" s="161"/>
      <c r="D88" s="161"/>
      <c r="E88" s="161"/>
      <c r="F88" s="161"/>
      <c r="G88" s="161"/>
      <c r="H88" s="161"/>
      <c r="I88" s="161"/>
      <c r="J88" s="161"/>
      <c r="K88" s="161"/>
      <c r="L88" s="161"/>
      <c r="M88" s="161"/>
      <c r="N88" s="161"/>
      <c r="O88" s="161"/>
    </row>
  </sheetData>
  <sheetProtection algorithmName="SHA-512" hashValue="y8fbgx3osvsjqG3dzDKLk6KPpIjXpHbimuyHENnGa2eZjL9KU21nkYt6RAptQnlP5bg5IKliM/eJCxZCNvomPQ==" saltValue="3rQb+lAO9/8PxBPXsMoSbg==" spinCount="100000" sheet="1" objects="1" scenarios="1"/>
  <mergeCells count="4">
    <mergeCell ref="D4:M4"/>
    <mergeCell ref="D5:M5"/>
    <mergeCell ref="E22:L22"/>
    <mergeCell ref="E37:L37"/>
  </mergeCells>
  <conditionalFormatting sqref="D7">
    <cfRule type="expression" dxfId="0" priority="178">
      <formula>#REF!="Yes"</formula>
    </cfRule>
  </conditionalFormatting>
  <pageMargins left="0.3" right="0.18" top="0.36" bottom="0.35" header="0.25" footer="0.25"/>
  <pageSetup scale="96"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B1"/>
  <sheetViews>
    <sheetView workbookViewId="0">
      <selection activeCell="A2" sqref="A2"/>
    </sheetView>
  </sheetViews>
  <sheetFormatPr defaultRowHeight="12.5" x14ac:dyDescent="0.25"/>
  <sheetData>
    <row r="1" spans="1:2" x14ac:dyDescent="0.25">
      <c r="A1" t="s">
        <v>0</v>
      </c>
      <c r="B1" t="s">
        <v>1</v>
      </c>
    </row>
  </sheetData>
  <phoneticPr fontId="3"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4CCFCF6-AA6C-4018-A70B-1090EAADEF03}">
  <ds:schemaRefs>
    <ds:schemaRef ds:uri="http://schemas.microsoft.com/sharepoint/v3/contenttype/forms"/>
  </ds:schemaRefs>
</ds:datastoreItem>
</file>

<file path=customXml/itemProps2.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F9F968F-E0AD-42DD-A772-6572511C635C}">
  <ds:schemaRefs>
    <ds:schemaRef ds:uri="http://purl.org/dc/dcmitype/"/>
    <ds:schemaRef ds:uri="http://schemas.microsoft.com/office/infopath/2007/PartnerControls"/>
    <ds:schemaRef ds:uri="http://purl.org/dc/elements/1.1/"/>
    <ds:schemaRef ds:uri="http://schemas.microsoft.com/office/2006/metadata/properties"/>
    <ds:schemaRef ds:uri="dbe9e2a1-d586-409c-905c-748d15c9a972"/>
    <ds:schemaRef ds:uri="http://purl.org/dc/terms/"/>
    <ds:schemaRef ds:uri="http://schemas.microsoft.com/office/2006/documentManagement/types"/>
    <ds:schemaRef ds:uri="29b36ee5-1ca7-46dd-b5f0-cd38d455131d"/>
    <ds:schemaRef ds:uri="http://schemas.openxmlformats.org/package/2006/metadata/core-properties"/>
    <ds:schemaRef ds:uri="http://www.w3.org/XML/1998/namespace"/>
  </ds:schemaRefs>
</ds:datastoreItem>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Disclaimer</vt:lpstr>
      <vt:lpstr>Instructions</vt:lpstr>
      <vt:lpstr>Input</vt:lpstr>
      <vt:lpstr>Calculations</vt:lpstr>
      <vt:lpstr>copyright_disclaimer</vt:lpstr>
      <vt:lpstr>Tax Calculator - Calculations</vt:lpstr>
      <vt:lpstr>Extension</vt:lpstr>
      <vt:lpstr>Tax Calculator - Extension</vt:lpstr>
      <vt:lpstr>Truth in Taxation</vt:lpstr>
      <vt:lpstr>InfoPage</vt:lpstr>
      <vt:lpstr>Calculations!Print_Area</vt:lpstr>
      <vt:lpstr>Extension!Print_Area</vt:lpstr>
      <vt:lpstr>Input!Print_Area</vt:lpstr>
      <vt:lpstr>'Truth in Taxation'!Print_Area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Laura Fox</cp:lastModifiedBy>
  <cp:lastPrinted>2024-07-15T15:43:47Z</cp:lastPrinted>
  <dcterms:created xsi:type="dcterms:W3CDTF">2001-07-03T19:36:57Z</dcterms:created>
  <dcterms:modified xsi:type="dcterms:W3CDTF">2025-09-04T18:21:50Z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