
<file path=[Content_Types].xml><?xml version="1.0" encoding="utf-8"?>
<Types xmlns="http://schemas.openxmlformats.org/package/2006/content-types">
  <Default Extension="bin" ContentType="application/vnd.openxmlformats-officedocument.spreadsheetml.printerSettings"/>
  <Default Extension="doc" ContentType="application/msword"/>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24226"/>
  <mc:AlternateContent xmlns:mc="http://schemas.openxmlformats.org/markup-compatibility/2006">
    <mc:Choice Requires="x15">
      <x15ac:absPath xmlns:x15ac="http://schemas.microsoft.com/office/spreadsheetml/2010/11/ac" url="L:\Public Finance\Miscellaneous\Presentations\Levy Workshops\2025\NHR Seminar 2025\"/>
    </mc:Choice>
  </mc:AlternateContent>
  <xr:revisionPtr revIDLastSave="0" documentId="13_ncr:1_{6AC773BE-ED28-4570-87F1-EF2733AC2AC4}" xr6:coauthVersionLast="47" xr6:coauthVersionMax="47" xr10:uidLastSave="{00000000-0000-0000-0000-000000000000}"/>
  <bookViews>
    <workbookView xWindow="57480" yWindow="-120" windowWidth="29040" windowHeight="15720" firstSheet="1" activeTab="2" xr2:uid="{00000000-000D-0000-FFFF-FFFF00000000}"/>
  </bookViews>
  <sheets>
    <sheet name="Disclaimer" sheetId="19" r:id="rId1"/>
    <sheet name="Instructions" sheetId="16" r:id="rId2"/>
    <sheet name="Input" sheetId="5" r:id="rId3"/>
    <sheet name="Calculations" sheetId="9" r:id="rId4"/>
    <sheet name="copyright_disclaimer" sheetId="15" state="hidden" r:id="rId5"/>
    <sheet name="Tax Calculator - Calculations" sheetId="20" r:id="rId6"/>
    <sheet name="Extension" sheetId="17" r:id="rId7"/>
    <sheet name="Tax Calculator - Extension" sheetId="21" r:id="rId8"/>
    <sheet name="Truth in Taxation" sheetId="22" r:id="rId9"/>
    <sheet name="InfoPage" sheetId="3" state="hidden" r:id="rId10"/>
  </sheets>
  <definedNames>
    <definedName name="_xlnm.Print_Area" localSheetId="3">Calculations!$A$1:$L$50</definedName>
    <definedName name="_xlnm.Print_Area" localSheetId="6">Extension!$A$1:$N$53</definedName>
    <definedName name="_xlnm.Print_Area" localSheetId="2">Input!$A$7:$H$84</definedName>
    <definedName name="_xlnm.Print_Area" localSheetId="8">'Truth in Taxation'!$A$1:$Q$51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45" i="17" l="1"/>
  <c r="I45" i="17"/>
  <c r="H45" i="17"/>
  <c r="G45" i="17"/>
  <c r="F45" i="17"/>
  <c r="E45" i="17"/>
  <c r="B45" i="17"/>
  <c r="B40" i="17"/>
  <c r="E40" i="17"/>
  <c r="F40" i="17" s="1"/>
  <c r="G40" i="17" s="1"/>
  <c r="H40" i="17" s="1"/>
  <c r="A40" i="17"/>
  <c r="B14" i="20"/>
  <c r="K34" i="9"/>
  <c r="C34" i="9"/>
  <c r="B34" i="9"/>
  <c r="A34" i="9"/>
  <c r="H74" i="5"/>
  <c r="G74" i="5"/>
  <c r="F74" i="5"/>
  <c r="E74" i="5"/>
  <c r="D74" i="5"/>
  <c r="D70" i="5"/>
  <c r="L45" i="17"/>
  <c r="D21" i="22" l="1"/>
  <c r="A26" i="21"/>
  <c r="A26" i="20"/>
  <c r="H49" i="17"/>
  <c r="I45" i="9"/>
  <c r="F45" i="9"/>
  <c r="A45" i="9"/>
  <c r="A49" i="17" s="1"/>
  <c r="A31" i="9"/>
  <c r="A32" i="9"/>
  <c r="A33" i="9"/>
  <c r="A35" i="9"/>
  <c r="A36" i="9"/>
  <c r="D78" i="5"/>
  <c r="B45" i="9" s="1"/>
  <c r="J45" i="9" s="1"/>
  <c r="B49" i="17" s="1"/>
  <c r="I39" i="9"/>
  <c r="D80" i="5"/>
  <c r="D76" i="5"/>
  <c r="A24" i="21"/>
  <c r="A42" i="17" l="1"/>
  <c r="C36" i="9"/>
  <c r="D36" i="9"/>
  <c r="K36" i="9"/>
  <c r="A39" i="17"/>
  <c r="C33" i="9"/>
  <c r="D69" i="5"/>
  <c r="B33" i="9" s="1"/>
  <c r="D72" i="5"/>
  <c r="B36" i="9" s="1"/>
  <c r="D8" i="22"/>
  <c r="K35" i="9"/>
  <c r="D35" i="9"/>
  <c r="K18" i="9"/>
  <c r="K19" i="9"/>
  <c r="K20" i="9"/>
  <c r="K21" i="9"/>
  <c r="K22" i="9"/>
  <c r="K23" i="9"/>
  <c r="K24" i="9"/>
  <c r="D18" i="9"/>
  <c r="D19" i="9"/>
  <c r="D20" i="9"/>
  <c r="D21" i="9"/>
  <c r="D22" i="9"/>
  <c r="D23" i="9"/>
  <c r="D24" i="9"/>
  <c r="C15" i="9"/>
  <c r="C16" i="9"/>
  <c r="C17" i="9"/>
  <c r="C18" i="9"/>
  <c r="C19" i="9"/>
  <c r="C20" i="9"/>
  <c r="C21" i="9"/>
  <c r="C22" i="9"/>
  <c r="C23" i="9"/>
  <c r="C24" i="9"/>
  <c r="C25" i="9"/>
  <c r="C26" i="9"/>
  <c r="C27" i="9"/>
  <c r="C28" i="9"/>
  <c r="C29" i="9"/>
  <c r="C30" i="9"/>
  <c r="C31" i="9"/>
  <c r="C32" i="9"/>
  <c r="C35" i="9"/>
  <c r="A23" i="9"/>
  <c r="A29" i="17" s="1"/>
  <c r="A24" i="9"/>
  <c r="A30" i="17" s="1"/>
  <c r="A25" i="9"/>
  <c r="A31" i="17" s="1"/>
  <c r="A26" i="9"/>
  <c r="A32" i="17" s="1"/>
  <c r="A27" i="9"/>
  <c r="A33" i="17" s="1"/>
  <c r="A28" i="9"/>
  <c r="A34" i="17" s="1"/>
  <c r="A29" i="9"/>
  <c r="A35" i="17" s="1"/>
  <c r="A30" i="9"/>
  <c r="A36" i="17" s="1"/>
  <c r="D53" i="5"/>
  <c r="B17" i="9" s="1"/>
  <c r="D54" i="5"/>
  <c r="B18" i="9" s="1"/>
  <c r="D55" i="5"/>
  <c r="B19" i="9" s="1"/>
  <c r="D56" i="5"/>
  <c r="B20" i="9" s="1"/>
  <c r="D57" i="5"/>
  <c r="B21" i="9" s="1"/>
  <c r="D58" i="5"/>
  <c r="B22" i="9" s="1"/>
  <c r="D59" i="5"/>
  <c r="B23" i="9" s="1"/>
  <c r="D60" i="5"/>
  <c r="B24" i="9" s="1"/>
  <c r="D61" i="5"/>
  <c r="B25" i="9" s="1"/>
  <c r="D62" i="5"/>
  <c r="B26" i="9" s="1"/>
  <c r="D63" i="5"/>
  <c r="B27" i="9" s="1"/>
  <c r="D64" i="5"/>
  <c r="B28" i="9" s="1"/>
  <c r="D65" i="5"/>
  <c r="B29" i="9" s="1"/>
  <c r="D66" i="5"/>
  <c r="B30" i="9" s="1"/>
  <c r="D67" i="5"/>
  <c r="B31" i="9" s="1"/>
  <c r="D68" i="5"/>
  <c r="B32" i="9" s="1"/>
  <c r="D71" i="5"/>
  <c r="B35" i="9" s="1"/>
  <c r="Z8" i="21"/>
  <c r="D13" i="22"/>
  <c r="D7" i="22" l="1"/>
  <c r="D5" i="22"/>
  <c r="T8" i="22" l="1"/>
  <c r="D9" i="22" s="1"/>
  <c r="A28" i="20"/>
  <c r="D26" i="22"/>
  <c r="D36" i="22"/>
  <c r="D33" i="22"/>
  <c r="D29" i="22"/>
  <c r="D25" i="22"/>
  <c r="D17" i="22"/>
  <c r="C40" i="5" l="1"/>
  <c r="D34" i="5"/>
  <c r="I4" i="17"/>
  <c r="H8" i="9"/>
  <c r="B9" i="20" s="1"/>
  <c r="B34" i="5"/>
  <c r="B36" i="5"/>
  <c r="D33" i="9" l="1"/>
  <c r="D34" i="9"/>
  <c r="D26" i="9"/>
  <c r="D31" i="9"/>
  <c r="D27" i="9"/>
  <c r="D25" i="9"/>
  <c r="D28" i="9"/>
  <c r="D32" i="9"/>
  <c r="D29" i="9"/>
  <c r="D30" i="9"/>
  <c r="B32" i="5"/>
  <c r="E49" i="5"/>
  <c r="A15" i="21"/>
  <c r="A28" i="21"/>
  <c r="A22" i="21"/>
  <c r="A14" i="21"/>
  <c r="A13" i="21"/>
  <c r="A11" i="21"/>
  <c r="A7" i="21"/>
  <c r="A2" i="21"/>
  <c r="A2" i="20"/>
  <c r="A22" i="20"/>
  <c r="A15" i="20"/>
  <c r="A14" i="20"/>
  <c r="A13" i="20"/>
  <c r="A7" i="20"/>
  <c r="M15" i="21" l="1"/>
  <c r="L19" i="21"/>
  <c r="L8" i="21"/>
  <c r="L6" i="21"/>
  <c r="L6" i="20"/>
  <c r="L8" i="20"/>
  <c r="L19" i="20"/>
  <c r="I21" i="21"/>
  <c r="Y9" i="21"/>
  <c r="N11" i="21" s="1"/>
  <c r="I21" i="20"/>
  <c r="N12" i="21" l="1"/>
  <c r="M15" i="20" l="1"/>
  <c r="N12" i="20"/>
  <c r="Y9" i="20" l="1"/>
  <c r="N11" i="20" s="1"/>
  <c r="B30" i="5"/>
  <c r="D28" i="5"/>
  <c r="G42" i="9" l="1"/>
  <c r="A37" i="17" l="1"/>
  <c r="A38" i="17"/>
  <c r="A18" i="9"/>
  <c r="A24" i="17" s="1"/>
  <c r="A19" i="9"/>
  <c r="A25" i="17" s="1"/>
  <c r="A15" i="9"/>
  <c r="A21" i="17" s="1"/>
  <c r="A16" i="9"/>
  <c r="A22" i="17" s="1"/>
  <c r="A17" i="9"/>
  <c r="A23" i="17" s="1"/>
  <c r="A20" i="9"/>
  <c r="A26" i="17" s="1"/>
  <c r="A21" i="9"/>
  <c r="A27" i="17" s="1"/>
  <c r="A22" i="9"/>
  <c r="A28" i="17" s="1"/>
  <c r="A41" i="17"/>
  <c r="A14" i="9"/>
  <c r="A20" i="17" s="1"/>
  <c r="B43" i="9" l="1"/>
  <c r="H18" i="17" l="1"/>
  <c r="G18" i="17"/>
  <c r="G12" i="9"/>
  <c r="H16" i="17"/>
  <c r="A45" i="17"/>
  <c r="A39" i="9"/>
  <c r="I18" i="17"/>
  <c r="J15" i="17"/>
  <c r="K17" i="9"/>
  <c r="D17" i="9"/>
  <c r="A6" i="20"/>
  <c r="G5" i="9"/>
  <c r="F12" i="9" l="1"/>
  <c r="H13" i="17"/>
  <c r="H12" i="17"/>
  <c r="H11" i="17"/>
  <c r="A9" i="21" s="1"/>
  <c r="H10" i="17"/>
  <c r="A6" i="21" s="1"/>
  <c r="H7" i="17"/>
  <c r="H6" i="17"/>
  <c r="H4" i="17"/>
  <c r="H2" i="17"/>
  <c r="D30" i="5"/>
  <c r="D49" i="5"/>
  <c r="G11" i="9"/>
  <c r="G10" i="9"/>
  <c r="G8" i="9"/>
  <c r="G6" i="9"/>
  <c r="G3" i="9"/>
  <c r="D13" i="9"/>
  <c r="C82" i="5"/>
  <c r="C80" i="5"/>
  <c r="C74" i="5"/>
  <c r="B40" i="5"/>
  <c r="A11" i="20" s="1"/>
  <c r="B38" i="5"/>
  <c r="A9" i="20" s="1"/>
  <c r="A50" i="5" l="1"/>
  <c r="H3" i="9" l="1"/>
  <c r="A2" i="17"/>
  <c r="C14" i="9"/>
  <c r="I11" i="17"/>
  <c r="B9" i="21" s="1"/>
  <c r="H2" i="9"/>
  <c r="A2" i="9"/>
  <c r="D50" i="5"/>
  <c r="D51" i="5"/>
  <c r="B15" i="9" s="1"/>
  <c r="D52" i="5"/>
  <c r="B16" i="9" s="1"/>
  <c r="G39" i="9"/>
  <c r="H49" i="5"/>
  <c r="G49" i="5"/>
  <c r="F49" i="5"/>
  <c r="B47" i="9"/>
  <c r="J47" i="9"/>
  <c r="D30" i="22" s="1"/>
  <c r="B51" i="17" l="1"/>
  <c r="C41" i="5"/>
  <c r="D16" i="9"/>
  <c r="D15" i="9"/>
  <c r="D14" i="9"/>
  <c r="K47" i="9"/>
  <c r="H10" i="9"/>
  <c r="F43" i="9" s="1"/>
  <c r="I6" i="17"/>
  <c r="B14" i="9"/>
  <c r="J43" i="9" l="1"/>
  <c r="B47" i="17" s="1"/>
  <c r="D18" i="22"/>
  <c r="D34" i="22" s="1"/>
  <c r="D82" i="5"/>
  <c r="B13" i="21"/>
  <c r="H11" i="9"/>
  <c r="H5" i="9"/>
  <c r="B9" i="9"/>
  <c r="B10" i="9" s="1"/>
  <c r="F34" i="9" s="1"/>
  <c r="J34" i="9" s="1"/>
  <c r="B13" i="20"/>
  <c r="I7" i="17"/>
  <c r="B39" i="9"/>
  <c r="B50" i="9" s="1"/>
  <c r="B12" i="17"/>
  <c r="B13" i="17" s="1"/>
  <c r="D39" i="9"/>
  <c r="F36" i="9" l="1"/>
  <c r="J36" i="9" s="1"/>
  <c r="B42" i="17" s="1"/>
  <c r="E42" i="17" s="1"/>
  <c r="F33" i="9"/>
  <c r="J33" i="9" s="1"/>
  <c r="F35" i="9"/>
  <c r="J35" i="9" s="1"/>
  <c r="F22" i="9"/>
  <c r="F21" i="9"/>
  <c r="J21" i="9" s="1"/>
  <c r="F24" i="9"/>
  <c r="J24" i="9" s="1"/>
  <c r="B30" i="17" s="1"/>
  <c r="E30" i="17" s="1"/>
  <c r="F18" i="9"/>
  <c r="J18" i="9" s="1"/>
  <c r="B24" i="17" s="1"/>
  <c r="E24" i="17" s="1"/>
  <c r="F23" i="9"/>
  <c r="J23" i="9" s="1"/>
  <c r="B29" i="17" s="1"/>
  <c r="E29" i="17" s="1"/>
  <c r="F19" i="9"/>
  <c r="J19" i="9" s="1"/>
  <c r="B25" i="17" s="1"/>
  <c r="E25" i="17" s="1"/>
  <c r="F20" i="9"/>
  <c r="J20" i="9" s="1"/>
  <c r="B26" i="17" s="1"/>
  <c r="E26" i="17" s="1"/>
  <c r="F29" i="9"/>
  <c r="J29" i="9" s="1"/>
  <c r="F32" i="9"/>
  <c r="J32" i="9" s="1"/>
  <c r="F28" i="9"/>
  <c r="J28" i="9" s="1"/>
  <c r="F27" i="9"/>
  <c r="J27" i="9" s="1"/>
  <c r="F30" i="9"/>
  <c r="J30" i="9" s="1"/>
  <c r="F25" i="9"/>
  <c r="J25" i="9" s="1"/>
  <c r="F26" i="9"/>
  <c r="J26" i="9" s="1"/>
  <c r="F31" i="9"/>
  <c r="J31" i="9" s="1"/>
  <c r="B6" i="20"/>
  <c r="M8" i="20" s="1"/>
  <c r="M11" i="20" s="1"/>
  <c r="M12" i="20" s="1"/>
  <c r="M17" i="20" s="1"/>
  <c r="I2" i="17"/>
  <c r="I10" i="17"/>
  <c r="I12" i="17" s="1"/>
  <c r="J49" i="17" s="1"/>
  <c r="H6" i="9"/>
  <c r="B7" i="20" s="1"/>
  <c r="B11" i="20" s="1"/>
  <c r="B29" i="20"/>
  <c r="B29" i="21"/>
  <c r="F17" i="9"/>
  <c r="J17" i="9" s="1"/>
  <c r="F16" i="9"/>
  <c r="F14" i="9"/>
  <c r="F15" i="9"/>
  <c r="B24" i="20" l="1"/>
  <c r="B26" i="20"/>
  <c r="N49" i="17"/>
  <c r="B26" i="21"/>
  <c r="F42" i="17"/>
  <c r="G42" i="17" s="1"/>
  <c r="H42" i="17" s="1"/>
  <c r="K33" i="9"/>
  <c r="B39" i="17"/>
  <c r="E39" i="17" s="1"/>
  <c r="F39" i="17" s="1"/>
  <c r="G39" i="17" s="1"/>
  <c r="H39" i="17" s="1"/>
  <c r="F24" i="17"/>
  <c r="F25" i="17"/>
  <c r="K31" i="9"/>
  <c r="B37" i="17"/>
  <c r="E37" i="17" s="1"/>
  <c r="K26" i="9"/>
  <c r="B32" i="17"/>
  <c r="E32" i="17" s="1"/>
  <c r="K25" i="9"/>
  <c r="B31" i="17"/>
  <c r="E31" i="17" s="1"/>
  <c r="K30" i="9"/>
  <c r="B36" i="17"/>
  <c r="E36" i="17" s="1"/>
  <c r="K27" i="9"/>
  <c r="B33" i="17"/>
  <c r="E33" i="17" s="1"/>
  <c r="K28" i="9"/>
  <c r="B34" i="17"/>
  <c r="E34" i="17" s="1"/>
  <c r="K32" i="9"/>
  <c r="B38" i="17"/>
  <c r="E38" i="17" s="1"/>
  <c r="K29" i="9"/>
  <c r="B35" i="17"/>
  <c r="E35" i="17" s="1"/>
  <c r="F26" i="17"/>
  <c r="G26" i="17" s="1"/>
  <c r="H26" i="17" s="1"/>
  <c r="F29" i="17"/>
  <c r="G29" i="17" s="1"/>
  <c r="H29" i="17" s="1"/>
  <c r="F30" i="17"/>
  <c r="G30" i="17" s="1"/>
  <c r="H30" i="17" s="1"/>
  <c r="B41" i="17"/>
  <c r="E41" i="17" s="1"/>
  <c r="F41" i="17" s="1"/>
  <c r="G41" i="17" s="1"/>
  <c r="H41" i="17" s="1"/>
  <c r="B15" i="20"/>
  <c r="B20" i="20"/>
  <c r="B6" i="21"/>
  <c r="C12" i="17"/>
  <c r="C13" i="17" s="1"/>
  <c r="J16" i="9"/>
  <c r="J22" i="9"/>
  <c r="J15" i="9"/>
  <c r="J14" i="9"/>
  <c r="B23" i="17"/>
  <c r="E23" i="17" s="1"/>
  <c r="F23" i="17" s="1"/>
  <c r="B27" i="17"/>
  <c r="E27" i="17" s="1"/>
  <c r="F27" i="17" s="1"/>
  <c r="F39" i="9"/>
  <c r="J39" i="9" l="1"/>
  <c r="D22" i="22" s="1"/>
  <c r="K14" i="9"/>
  <c r="F35" i="17"/>
  <c r="G35" i="17" s="1"/>
  <c r="H35" i="17" s="1"/>
  <c r="F38" i="17"/>
  <c r="G38" i="17" s="1"/>
  <c r="H38" i="17" s="1"/>
  <c r="F34" i="17"/>
  <c r="G34" i="17" s="1"/>
  <c r="H34" i="17" s="1"/>
  <c r="F33" i="17"/>
  <c r="G33" i="17" s="1"/>
  <c r="H33" i="17" s="1"/>
  <c r="F36" i="17"/>
  <c r="G36" i="17" s="1"/>
  <c r="H36" i="17" s="1"/>
  <c r="F31" i="17"/>
  <c r="G31" i="17" s="1"/>
  <c r="H31" i="17" s="1"/>
  <c r="F32" i="17"/>
  <c r="G32" i="17" s="1"/>
  <c r="H32" i="17" s="1"/>
  <c r="F37" i="17"/>
  <c r="G37" i="17" s="1"/>
  <c r="H37" i="17" s="1"/>
  <c r="B21" i="17"/>
  <c r="E21" i="17" s="1"/>
  <c r="K15" i="9"/>
  <c r="B22" i="17"/>
  <c r="E22" i="17" s="1"/>
  <c r="K16" i="9"/>
  <c r="B22" i="20"/>
  <c r="J51" i="17"/>
  <c r="N51" i="17" s="1"/>
  <c r="I13" i="17"/>
  <c r="I47" i="17"/>
  <c r="J47" i="17" s="1"/>
  <c r="B24" i="21" s="1"/>
  <c r="G24" i="17"/>
  <c r="H24" i="17" s="1"/>
  <c r="G25" i="17"/>
  <c r="H25" i="17" s="1"/>
  <c r="M8" i="21"/>
  <c r="M11" i="21" s="1"/>
  <c r="M12" i="21" s="1"/>
  <c r="M17" i="21" s="1"/>
  <c r="B7" i="21"/>
  <c r="B11" i="21" s="1"/>
  <c r="B20" i="17"/>
  <c r="G27" i="17"/>
  <c r="H27" i="17" s="1"/>
  <c r="B28" i="17"/>
  <c r="E28" i="17" s="1"/>
  <c r="G23" i="17"/>
  <c r="H23" i="17" s="1"/>
  <c r="E20" i="17" l="1"/>
  <c r="B53" i="17"/>
  <c r="K39" i="9"/>
  <c r="L39" i="9" s="1"/>
  <c r="J50" i="9"/>
  <c r="K50" i="9" s="1"/>
  <c r="B28" i="20"/>
  <c r="F28" i="17"/>
  <c r="G28" i="17" s="1"/>
  <c r="H28" i="17" s="1"/>
  <c r="F22" i="17"/>
  <c r="G22" i="17" s="1"/>
  <c r="H22" i="17" s="1"/>
  <c r="F21" i="17"/>
  <c r="G21" i="17" s="1"/>
  <c r="H21" i="17" s="1"/>
  <c r="B15" i="21"/>
  <c r="B20" i="21"/>
  <c r="L47" i="17"/>
  <c r="L48" i="17" s="1"/>
  <c r="N47" i="17"/>
  <c r="J41" i="9"/>
  <c r="I41" i="9" s="1"/>
  <c r="F20" i="17" l="1"/>
  <c r="M19" i="20"/>
  <c r="D37" i="22"/>
  <c r="E37" i="22" s="1"/>
  <c r="E22" i="22"/>
  <c r="B22" i="21"/>
  <c r="G20" i="17" l="1"/>
  <c r="H20" i="17" l="1"/>
  <c r="I15" i="17"/>
  <c r="I40" i="17" s="1"/>
  <c r="J40" i="17" l="1"/>
  <c r="M40" i="17"/>
  <c r="N40" i="17" s="1"/>
  <c r="I25" i="17"/>
  <c r="I26" i="17"/>
  <c r="I39" i="17"/>
  <c r="I27" i="17"/>
  <c r="I42" i="17"/>
  <c r="I28" i="17"/>
  <c r="I29" i="17"/>
  <c r="I37" i="17"/>
  <c r="I38" i="17"/>
  <c r="I31" i="17"/>
  <c r="I41" i="17"/>
  <c r="I32" i="17"/>
  <c r="I20" i="17"/>
  <c r="I33" i="17"/>
  <c r="I34" i="17"/>
  <c r="I35" i="17"/>
  <c r="I36" i="17"/>
  <c r="I22" i="17"/>
  <c r="I24" i="17"/>
  <c r="I30" i="17"/>
  <c r="I21" i="17"/>
  <c r="I23" i="17"/>
  <c r="M32" i="17" l="1"/>
  <c r="N32" i="17" s="1"/>
  <c r="J32" i="17"/>
  <c r="J20" i="17"/>
  <c r="I16" i="17"/>
  <c r="J16" i="17" s="1"/>
  <c r="M20" i="17"/>
  <c r="M35" i="17"/>
  <c r="N35" i="17" s="1"/>
  <c r="J35" i="17"/>
  <c r="M34" i="17"/>
  <c r="N34" i="17" s="1"/>
  <c r="J34" i="17"/>
  <c r="M33" i="17"/>
  <c r="N33" i="17" s="1"/>
  <c r="J33" i="17"/>
  <c r="M41" i="17"/>
  <c r="N41" i="17" s="1"/>
  <c r="J41" i="17"/>
  <c r="M31" i="17"/>
  <c r="N31" i="17" s="1"/>
  <c r="J31" i="17"/>
  <c r="M38" i="17"/>
  <c r="N38" i="17" s="1"/>
  <c r="J38" i="17"/>
  <c r="M37" i="17"/>
  <c r="N37" i="17" s="1"/>
  <c r="J37" i="17"/>
  <c r="M29" i="17"/>
  <c r="N29" i="17" s="1"/>
  <c r="J29" i="17"/>
  <c r="M23" i="17"/>
  <c r="N23" i="17" s="1"/>
  <c r="J23" i="17"/>
  <c r="M28" i="17"/>
  <c r="N28" i="17" s="1"/>
  <c r="J28" i="17"/>
  <c r="M21" i="17"/>
  <c r="N21" i="17" s="1"/>
  <c r="J21" i="17"/>
  <c r="M42" i="17"/>
  <c r="N42" i="17" s="1"/>
  <c r="J42" i="17"/>
  <c r="M30" i="17"/>
  <c r="N30" i="17" s="1"/>
  <c r="J30" i="17"/>
  <c r="M27" i="17"/>
  <c r="N27" i="17" s="1"/>
  <c r="J27" i="17"/>
  <c r="M24" i="17"/>
  <c r="N24" i="17" s="1"/>
  <c r="J24" i="17"/>
  <c r="J39" i="17"/>
  <c r="M39" i="17"/>
  <c r="N39" i="17" s="1"/>
  <c r="M22" i="17"/>
  <c r="N22" i="17" s="1"/>
  <c r="J22" i="17"/>
  <c r="M26" i="17"/>
  <c r="N26" i="17" s="1"/>
  <c r="J26" i="17"/>
  <c r="J36" i="17"/>
  <c r="M36" i="17"/>
  <c r="N36" i="17" s="1"/>
  <c r="M25" i="17"/>
  <c r="N25" i="17" s="1"/>
  <c r="J25" i="17"/>
  <c r="N20" i="17" l="1"/>
  <c r="N45" i="17" s="1"/>
  <c r="M45" i="17"/>
  <c r="I53" i="17"/>
  <c r="J53" i="17"/>
  <c r="N53" i="17" l="1"/>
  <c r="B14" i="21"/>
  <c r="B28" i="21" s="1"/>
  <c r="M19" i="21" s="1"/>
  <c r="L43" i="17"/>
  <c r="M43" i="17" s="1"/>
</calcChain>
</file>

<file path=xl/sharedStrings.xml><?xml version="1.0" encoding="utf-8"?>
<sst xmlns="http://schemas.openxmlformats.org/spreadsheetml/2006/main" count="241" uniqueCount="185">
  <si>
    <t>Password:</t>
  </si>
  <si>
    <t>CTL02</t>
  </si>
  <si>
    <t>LEVY INPUT PAGE - ASSUMPTIONS</t>
  </si>
  <si>
    <t>Fill out County names as needed - leave other boxes blank</t>
  </si>
  <si>
    <t>Enter "x" in one box only</t>
  </si>
  <si>
    <t>Limiting Rate:</t>
  </si>
  <si>
    <t>Truth in Taxation</t>
  </si>
  <si>
    <t>(Prior Year Extension x (1+Lesser of 5% or CPI))</t>
  </si>
  <si>
    <t>Yes</t>
  </si>
  <si>
    <t>No</t>
  </si>
  <si>
    <t>x</t>
  </si>
  <si>
    <t>Follow these steps to view and set the macro security level in Excel 2010:</t>
  </si>
  <si>
    <r>
      <t>1.</t>
    </r>
    <r>
      <rPr>
        <b/>
        <sz val="12"/>
        <color indexed="63"/>
        <rFont val="Times New Roman"/>
        <family val="1"/>
      </rPr>
      <t xml:space="preserve">     </t>
    </r>
    <r>
      <rPr>
        <b/>
        <sz val="12"/>
        <color indexed="63"/>
        <rFont val="Arial"/>
        <family val="2"/>
      </rPr>
      <t>Click the File tab and then click Options.</t>
    </r>
  </si>
  <si>
    <r>
      <t>2.</t>
    </r>
    <r>
      <rPr>
        <sz val="12"/>
        <color indexed="63"/>
        <rFont val="Times New Roman"/>
        <family val="1"/>
      </rPr>
      <t xml:space="preserve">     </t>
    </r>
    <r>
      <rPr>
        <b/>
        <sz val="12"/>
        <color indexed="63"/>
        <rFont val="Arial"/>
        <family val="2"/>
      </rPr>
      <t>Click the Trust Center tab and then click the Trust Center Settings button.</t>
    </r>
  </si>
  <si>
    <t>The Trust Center dialog box appears with the Macro Settings tab selected.</t>
  </si>
  <si>
    <r>
      <t>Select a security level:</t>
    </r>
    <r>
      <rPr>
        <b/>
        <sz val="9"/>
        <color indexed="63"/>
        <rFont val="Arial"/>
        <family val="2"/>
      </rPr>
      <t xml:space="preserve"> Enable all macros</t>
    </r>
  </si>
  <si>
    <r>
      <t>3.</t>
    </r>
    <r>
      <rPr>
        <b/>
        <sz val="12"/>
        <color indexed="63"/>
        <rFont val="Times New Roman"/>
        <family val="1"/>
      </rPr>
      <t xml:space="preserve">     </t>
    </r>
    <r>
      <rPr>
        <b/>
        <sz val="12"/>
        <color indexed="63"/>
        <rFont val="Arial"/>
        <family val="2"/>
      </rPr>
      <t>Close the excel file, reopen the file.</t>
    </r>
  </si>
  <si>
    <t>Follow these steps to view and set the macro security level in Excel 2007:</t>
  </si>
  <si>
    <r>
      <t>2.</t>
    </r>
    <r>
      <rPr>
        <sz val="12"/>
        <color indexed="23"/>
        <rFont val="Times New Roman"/>
        <family val="1"/>
      </rPr>
      <t xml:space="preserve">         </t>
    </r>
    <r>
      <rPr>
        <sz val="12"/>
        <color indexed="23"/>
        <rFont val="Segoe UI"/>
        <family val="2"/>
      </rPr>
      <t xml:space="preserve">Click </t>
    </r>
    <r>
      <rPr>
        <b/>
        <sz val="12"/>
        <color indexed="23"/>
        <rFont val="Segoe UI"/>
        <family val="2"/>
      </rPr>
      <t>Trust Center</t>
    </r>
    <r>
      <rPr>
        <sz val="12"/>
        <color indexed="23"/>
        <rFont val="Segoe UI"/>
        <family val="2"/>
      </rPr>
      <t xml:space="preserve">, click </t>
    </r>
    <r>
      <rPr>
        <b/>
        <sz val="12"/>
        <color indexed="23"/>
        <rFont val="Segoe UI"/>
        <family val="2"/>
      </rPr>
      <t>Trust Center Settings</t>
    </r>
    <r>
      <rPr>
        <sz val="12"/>
        <color indexed="23"/>
        <rFont val="Segoe UI"/>
        <family val="2"/>
      </rPr>
      <t xml:space="preserve">, and then click </t>
    </r>
    <r>
      <rPr>
        <b/>
        <sz val="12"/>
        <color indexed="23"/>
        <rFont val="Segoe UI"/>
        <family val="2"/>
      </rPr>
      <t>Macro Settings</t>
    </r>
    <r>
      <rPr>
        <sz val="12"/>
        <color indexed="23"/>
        <rFont val="Segoe UI"/>
        <family val="2"/>
      </rPr>
      <t>.</t>
    </r>
  </si>
  <si>
    <r>
      <t>3.</t>
    </r>
    <r>
      <rPr>
        <sz val="12"/>
        <color indexed="23"/>
        <rFont val="Times New Roman"/>
        <family val="1"/>
      </rPr>
      <t xml:space="preserve">         </t>
    </r>
    <r>
      <rPr>
        <sz val="12"/>
        <color indexed="23"/>
        <rFont val="Segoe UI"/>
        <family val="2"/>
      </rPr>
      <t>Click the options that you want:</t>
    </r>
  </si>
  <si>
    <r>
      <t>·</t>
    </r>
    <r>
      <rPr>
        <sz val="12"/>
        <color indexed="23"/>
        <rFont val="Times New Roman"/>
        <family val="1"/>
      </rPr>
      <t xml:space="preserve">         </t>
    </r>
    <r>
      <rPr>
        <b/>
        <sz val="12"/>
        <color indexed="23"/>
        <rFont val="Segoe UI"/>
        <family val="2"/>
      </rPr>
      <t>Enable all macros (not recommended, potentially dangerous code can run)</t>
    </r>
  </si>
  <si>
    <r>
      <t>·</t>
    </r>
    <r>
      <rPr>
        <sz val="12"/>
        <color indexed="23"/>
        <rFont val="Times New Roman"/>
        <family val="1"/>
      </rPr>
      <t xml:space="preserve">         </t>
    </r>
    <r>
      <rPr>
        <sz val="12"/>
        <color indexed="23"/>
        <rFont val="Segoe UI"/>
        <family val="2"/>
      </rPr>
      <t>Disable all macros without notification</t>
    </r>
  </si>
  <si>
    <r>
      <t>·</t>
    </r>
    <r>
      <rPr>
        <sz val="12"/>
        <color indexed="23"/>
        <rFont val="Times New Roman"/>
        <family val="1"/>
      </rPr>
      <t xml:space="preserve">         </t>
    </r>
    <r>
      <rPr>
        <sz val="12"/>
        <color indexed="23"/>
        <rFont val="Segoe UI"/>
        <family val="2"/>
      </rPr>
      <t>Disable all macros with notification</t>
    </r>
  </si>
  <si>
    <r>
      <t>·</t>
    </r>
    <r>
      <rPr>
        <sz val="12"/>
        <color indexed="23"/>
        <rFont val="Times New Roman"/>
        <family val="1"/>
      </rPr>
      <t xml:space="preserve">         </t>
    </r>
    <r>
      <rPr>
        <sz val="12"/>
        <color indexed="23"/>
        <rFont val="Segoe UI"/>
        <family val="2"/>
      </rPr>
      <t>Disable all macros except digitally signed macros </t>
    </r>
  </si>
  <si>
    <r>
      <t>·</t>
    </r>
    <r>
      <rPr>
        <sz val="12"/>
        <color indexed="23"/>
        <rFont val="Times New Roman"/>
        <family val="1"/>
      </rPr>
      <t xml:space="preserve">         </t>
    </r>
    <r>
      <rPr>
        <sz val="12"/>
        <color indexed="23"/>
        <rFont val="Segoe UI"/>
        <family val="2"/>
      </rPr>
      <t>Trust access to the VBA project object model </t>
    </r>
  </si>
  <si>
    <r>
      <t>1.</t>
    </r>
    <r>
      <rPr>
        <sz val="12"/>
        <color indexed="23"/>
        <rFont val="Times New Roman"/>
        <family val="1"/>
      </rPr>
      <t xml:space="preserve">         </t>
    </r>
    <r>
      <rPr>
        <sz val="12"/>
        <color indexed="23"/>
        <rFont val="Segoe UI"/>
        <family val="2"/>
      </rPr>
      <t xml:space="preserve">Click the </t>
    </r>
    <r>
      <rPr>
        <b/>
        <sz val="12"/>
        <color indexed="23"/>
        <rFont val="Segoe UI"/>
        <family val="2"/>
      </rPr>
      <t>Microsoft Office Button           and then click Excel Options.</t>
    </r>
  </si>
  <si>
    <t xml:space="preserve">Please read the "Discalimer" worksheet.  Use of this workbook represents acceptance of the terms of the Disclaimer.  </t>
  </si>
  <si>
    <t>(Note:  This notice will not print with the rest of the page.)</t>
  </si>
  <si>
    <r>
      <t xml:space="preserve"> Include Abatements for Truth in Taxation </t>
    </r>
    <r>
      <rPr>
        <sz val="10"/>
        <rFont val="Times New Roman"/>
        <family val="1"/>
      </rPr>
      <t>(35 ILCS 200/18-70)</t>
    </r>
  </si>
  <si>
    <t>(Total EAV - New Property)</t>
  </si>
  <si>
    <t>Calculated Values</t>
  </si>
  <si>
    <t>Legend</t>
  </si>
  <si>
    <t>Original Assumptions</t>
  </si>
  <si>
    <t xml:space="preserve"> Includes Loss % Added by County Clerk(s)</t>
  </si>
  <si>
    <t>Review Needed</t>
  </si>
  <si>
    <t xml:space="preserve"> Includes New Property</t>
  </si>
  <si>
    <t>Scenario Assumptions</t>
  </si>
  <si>
    <t xml:space="preserve">District Number </t>
  </si>
  <si>
    <t xml:space="preserve">County 2 </t>
  </si>
  <si>
    <t xml:space="preserve">County 3 </t>
  </si>
  <si>
    <t xml:space="preserve">County 4 </t>
  </si>
  <si>
    <t xml:space="preserve">PTELL - Tax Capped </t>
  </si>
  <si>
    <t xml:space="preserve">Original Tax Levy Certificate </t>
  </si>
  <si>
    <t xml:space="preserve">Amended Tax Levy Certificate </t>
  </si>
  <si>
    <t xml:space="preserve">Consumer Price Index </t>
  </si>
  <si>
    <t xml:space="preserve">Total % Change From Prior Year </t>
  </si>
  <si>
    <t xml:space="preserve">No. of Tax Levied Bond Issues Outstanding </t>
  </si>
  <si>
    <t xml:space="preserve">Tax Levy Year </t>
  </si>
  <si>
    <t xml:space="preserve">Municipal Retirement </t>
  </si>
  <si>
    <t xml:space="preserve">Social Security </t>
  </si>
  <si>
    <t xml:space="preserve">Custom Fund Name </t>
  </si>
  <si>
    <t>Prior Year Extension</t>
  </si>
  <si>
    <t xml:space="preserve">Limiting Rate </t>
  </si>
  <si>
    <t xml:space="preserve">Estimated Capped Extension </t>
  </si>
  <si>
    <t xml:space="preserve">Estimated Bond and Interest Levy </t>
  </si>
  <si>
    <t xml:space="preserve">Total Levy </t>
  </si>
  <si>
    <t xml:space="preserve">Aggregate or County 1 </t>
  </si>
  <si>
    <t xml:space="preserve">Cook County Prior Year EAV Limit </t>
  </si>
  <si>
    <t xml:space="preserve"> Enter District Number</t>
  </si>
  <si>
    <t xml:space="preserve"> Choose Yes or No</t>
  </si>
  <si>
    <t xml:space="preserve"> Enter Estimated New Property</t>
  </si>
  <si>
    <t xml:space="preserve"> Enter What If...? Existing EAV Assumption or, Final Actual to Stress Test the Levy</t>
  </si>
  <si>
    <t xml:space="preserve"> Enter What If...? New Property Assumption or, Final Actual to Stress Test the Levy</t>
  </si>
  <si>
    <t xml:space="preserve">Capped Extension </t>
  </si>
  <si>
    <t xml:space="preserve">Reduction Factor </t>
  </si>
  <si>
    <t xml:space="preserve"> Does This Levy Capture All Available Property Taxes Under These Assumptions?</t>
  </si>
  <si>
    <t>County Loss %</t>
  </si>
  <si>
    <t>Final Tax Rate</t>
  </si>
  <si>
    <t>Spring Extension Adjustment Between Funds</t>
  </si>
  <si>
    <t>Final Adjusted Extension</t>
  </si>
  <si>
    <t>Final Adjusted Tax Rate</t>
  </si>
  <si>
    <t>Total Levy with County Loss %</t>
  </si>
  <si>
    <t xml:space="preserve"> Enter County 2 Name to Itemize County Extension Below</t>
  </si>
  <si>
    <t xml:space="preserve"> Enter County 4 Name to Itemize County Extension Below</t>
  </si>
  <si>
    <t xml:space="preserve"> Enter County 3 Name to Itemize County Extension Below</t>
  </si>
  <si>
    <t xml:space="preserve"> Enter County 1 Name or Enter "Aggregate" to enter Aggregate Extension Below</t>
  </si>
  <si>
    <t xml:space="preserve">Input Statutory Maximum Tax Rate </t>
  </si>
  <si>
    <t>Statutory Maximum Tax Rate</t>
  </si>
  <si>
    <t>Truth in Taxation Required</t>
  </si>
  <si>
    <t>Does Levy Amount Exceed Estimated Maximum Extension?</t>
  </si>
  <si>
    <t>Scenario Calculated Tax Rate</t>
  </si>
  <si>
    <t xml:space="preserve">Bond &amp; Interest Extension </t>
  </si>
  <si>
    <t xml:space="preserve">Total Extension </t>
  </si>
  <si>
    <t>Actual Total Extension/Rate</t>
  </si>
  <si>
    <t xml:space="preserve">Bond &amp; Interest Levy </t>
  </si>
  <si>
    <t>Current Levy Amount</t>
  </si>
  <si>
    <t xml:space="preserve">Actual Bond &amp; Interest Extension/Rate </t>
  </si>
  <si>
    <t xml:space="preserve">Bond &amp; Int. Levy </t>
  </si>
  <si>
    <t>Original Estimate</t>
  </si>
  <si>
    <t>Scenario Actual</t>
  </si>
  <si>
    <t>Levy Increase %</t>
  </si>
  <si>
    <t xml:space="preserve">Final Levy Amount </t>
  </si>
  <si>
    <t xml:space="preserve">Please read the "Disclaimer" worksheet.  Use of this workbook represents acceptance of the terms of the Disclaimer.  </t>
  </si>
  <si>
    <t>Special Recreation</t>
  </si>
  <si>
    <t xml:space="preserve">Actual Special Recreation Extension/Rate </t>
  </si>
  <si>
    <t>Special Recreation Levy</t>
  </si>
  <si>
    <t>Target Rate for Special Recreation Levy</t>
  </si>
  <si>
    <t>Estimated Special Recreation Levy</t>
  </si>
  <si>
    <t>Lesser of 5% or Consumer Price Index</t>
  </si>
  <si>
    <t>I think we should remove these two lines as well</t>
  </si>
  <si>
    <t>Note, do not include the amount of PTAB revenue recapture added to the extension pursuant to Public Act 102-0519.</t>
  </si>
  <si>
    <r>
      <rPr>
        <b/>
        <u/>
        <sz val="9"/>
        <rFont val="Times New Roman"/>
        <family val="1"/>
      </rPr>
      <t>Critical Assumptions</t>
    </r>
    <r>
      <rPr>
        <b/>
        <sz val="9"/>
        <rFont val="Times New Roman"/>
        <family val="1"/>
      </rPr>
      <t xml:space="preserve"> - Formulas in this workbook are dependent on assumptions entered for PTELL &amp; Cook County questions</t>
    </r>
  </si>
  <si>
    <t>Original Assumptions from Calculations Tab</t>
  </si>
  <si>
    <t>Taxpayer Impact</t>
  </si>
  <si>
    <t>LY22</t>
  </si>
  <si>
    <t>Includes EAV % Change</t>
  </si>
  <si>
    <t>Cook</t>
  </si>
  <si>
    <t>DuPage</t>
  </si>
  <si>
    <t>Total Assessed Value</t>
  </si>
  <si>
    <t>Lake</t>
  </si>
  <si>
    <t>State Equalization Multiplier</t>
  </si>
  <si>
    <t>McHenry</t>
  </si>
  <si>
    <t>Kane</t>
  </si>
  <si>
    <t>Based on County 1 on the input tab</t>
  </si>
  <si>
    <t>Will</t>
  </si>
  <si>
    <t xml:space="preserve"> Includes Loss Cost</t>
  </si>
  <si>
    <t>Bond &amp; Interest Lost Cost (%)</t>
  </si>
  <si>
    <t>Net Equalized Assessed Value</t>
  </si>
  <si>
    <t>Bond &amp; Interest Abatement</t>
  </si>
  <si>
    <t xml:space="preserve">Enter debt service to be abated </t>
  </si>
  <si>
    <t>Bond &amp; Interest Rate Abatement</t>
  </si>
  <si>
    <t>Cannot exceed estimated B&amp;I Tax Rate</t>
  </si>
  <si>
    <t>Note, if the B&amp;I levy on the "Calculations" tab was reduced by an expected abatement, it will need to be removed to prevent double counting the abatement.</t>
  </si>
  <si>
    <t>Total Prior Year's Tax Rate</t>
  </si>
  <si>
    <t>Scenario Assumptions from Extension Tab</t>
  </si>
  <si>
    <t>If the actual Bond &amp; Interest extension is known and input on the "Extension" tab in cell I36, no input is needed for the Loss Cost and Abatement cells.</t>
  </si>
  <si>
    <t xml:space="preserve">Liability Insurance </t>
  </si>
  <si>
    <t xml:space="preserve">Workman's Compensation </t>
  </si>
  <si>
    <t xml:space="preserve">Unemployment Insurance </t>
  </si>
  <si>
    <t xml:space="preserve">Corporate </t>
  </si>
  <si>
    <t xml:space="preserve">Custom 1 </t>
  </si>
  <si>
    <t xml:space="preserve">Custom 2 </t>
  </si>
  <si>
    <t>rlewis@pmanetwork.com</t>
  </si>
  <si>
    <t>Andrew Kim:</t>
  </si>
  <si>
    <t>Steve Adams:</t>
  </si>
  <si>
    <t>Bob Lewis:</t>
  </si>
  <si>
    <t>If you have a question, please contact any member of our municipal advisory team listed below:</t>
  </si>
  <si>
    <t xml:space="preserve"> If entering a dollar amount for EAV, please select "Yes," if growth %, please select "No"</t>
  </si>
  <si>
    <t>NOTICE OF PROPOSED PROPERTY TAX INCREASE FOR</t>
  </si>
  <si>
    <t>I.</t>
  </si>
  <si>
    <t>II.</t>
  </si>
  <si>
    <t>III.</t>
  </si>
  <si>
    <t>IV.</t>
  </si>
  <si>
    <t>Cook County</t>
  </si>
  <si>
    <t>Triennial Reassessment Cycle</t>
  </si>
  <si>
    <t>North Suburbs - 2025</t>
  </si>
  <si>
    <t>South &amp; West Suburbs - 2026</t>
  </si>
  <si>
    <t>Any person desiring to appear at the public hearing and present testimony to the taxing</t>
  </si>
  <si>
    <t>Hearing Date:</t>
  </si>
  <si>
    <t>Hearing Address:</t>
  </si>
  <si>
    <t>Hearing Municipality:</t>
  </si>
  <si>
    <t>Hearing Zip Code:</t>
  </si>
  <si>
    <t>*Please use an apostrophe (') in front of the Hearing Time.</t>
  </si>
  <si>
    <t xml:space="preserve">Municipality Name </t>
  </si>
  <si>
    <t xml:space="preserve"> Enter Municpality Name</t>
  </si>
  <si>
    <t>Municipality Assumptions &amp; Data Entry</t>
  </si>
  <si>
    <t xml:space="preserve">Police Protection </t>
  </si>
  <si>
    <t xml:space="preserve">Fire Protection </t>
  </si>
  <si>
    <t xml:space="preserve">Auditing </t>
  </si>
  <si>
    <t xml:space="preserve">Police Pension </t>
  </si>
  <si>
    <t xml:space="preserve">Fire Pension </t>
  </si>
  <si>
    <t xml:space="preserve">Waterworks </t>
  </si>
  <si>
    <t xml:space="preserve">Street &amp; Bridge </t>
  </si>
  <si>
    <t xml:space="preserve">Playgrounds &amp; Rec </t>
  </si>
  <si>
    <t xml:space="preserve">Civil Defense </t>
  </si>
  <si>
    <t xml:space="preserve">Garbage </t>
  </si>
  <si>
    <t xml:space="preserve">Street Lighting </t>
  </si>
  <si>
    <t>(County Clerk Levies Bond &amp; Interest for the Municipality, Verify Records with County Clerk)</t>
  </si>
  <si>
    <t>It does not include the recapture levy or property taxes paid for other Municipality purposes and to other governments. Actual tax rates and payments may vary based on Municipality-wide EAV growth, individual homeowner reassessment, State Law changes, property tax rate initiatives and other factors.</t>
  </si>
  <si>
    <t/>
  </si>
  <si>
    <t>Municipality Information</t>
  </si>
  <si>
    <t>Municipality Name:</t>
  </si>
  <si>
    <t>Municipality contact name:</t>
  </si>
  <si>
    <t>Municipality contact email address:</t>
  </si>
  <si>
    <t>Custom 4 (No Max Rate)</t>
  </si>
  <si>
    <t>Custom 5 (No Max Rate)</t>
  </si>
  <si>
    <t xml:space="preserve">Custom 3 </t>
  </si>
  <si>
    <t>Estimated Special Recreation Rate</t>
  </si>
  <si>
    <t>City of Chicago - 2027</t>
  </si>
  <si>
    <t xml:space="preserve">Homestead Exemption </t>
  </si>
  <si>
    <t>Hearing Time*:</t>
  </si>
  <si>
    <t>Custom Non-PTELL</t>
  </si>
  <si>
    <t>andrew.kim@ptma.com</t>
  </si>
  <si>
    <t>steve.adams@ptma.com</t>
  </si>
  <si>
    <t xml:space="preserve">Custom 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</si>
</sst>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7" formatCode="&quot;$&quot;#,##0.00_);\(&quot;$&quot;#,##0.00\)"/>
    <numFmt numFmtId="43" formatCode="_(* #,##0.00_);_(* \(#,##0.00\);_(* &quot;-&quot;??_);_(@_)"/>
    <numFmt numFmtId="164" formatCode="[$$-409]#,##0.00_);[Red]\([$$-409]#,##0.00\)"/>
    <numFmt numFmtId="165" formatCode="0.000%"/>
    <numFmt numFmtId="166" formatCode="[$$-409]#,##0.00_);\([$$-409]#,##0.00\)"/>
    <numFmt numFmtId="167" formatCode="[$$-409]#,##0_);[Red]\([$$-409]#,##0\)"/>
    <numFmt numFmtId="168" formatCode="0.0000%"/>
    <numFmt numFmtId="169" formatCode="0.0000"/>
    <numFmt numFmtId="170" formatCode="0.000"/>
    <numFmt numFmtId="171" formatCode="#,##0.000_);\(#,##0.000\)"/>
    <numFmt numFmtId="172" formatCode="[$$-409]#,##0.0000_);[Red]\([$$-409]#,##0.0000\)"/>
    <numFmt numFmtId="173" formatCode="0.0%"/>
    <numFmt numFmtId="174" formatCode="&quot;$&quot;#,##0.00"/>
    <numFmt numFmtId="175" formatCode="&quot;$&quot;#,##0.0000"/>
    <numFmt numFmtId="176" formatCode="&quot;$&quot;#,##0"/>
    <numFmt numFmtId="177" formatCode="_(&quot;$&quot;* #,##0_);_(&quot;$&quot;* \(#,##0\);_(&quot;$&quot;* &quot;-&quot;??_);_(@_)"/>
    <numFmt numFmtId="178" formatCode="&quot;. This represents a&quot;\ 0.00%\ &quot;increase over the previous year&quot;"/>
    <numFmt numFmtId="179" formatCode="[$-F800]dddd\,\ mmmm\ dd\,\ yyyy"/>
    <numFmt numFmtId="180" formatCode="[$-F400]h:mm:ss\ AM/PM"/>
  </numFmts>
  <fonts count="52" x14ac:knownFonts="1">
    <font>
      <sz val="10"/>
      <name val="Arial"/>
    </font>
    <font>
      <sz val="10"/>
      <name val="Arial"/>
      <family val="2"/>
    </font>
    <font>
      <b/>
      <sz val="12"/>
      <name val="Arial"/>
      <family val="2"/>
    </font>
    <font>
      <sz val="8"/>
      <name val="Arial"/>
      <family val="2"/>
    </font>
    <font>
      <sz val="10"/>
      <name val="Times New Roman"/>
      <family val="1"/>
    </font>
    <font>
      <b/>
      <sz val="12"/>
      <name val="Times New Roman"/>
      <family val="1"/>
    </font>
    <font>
      <b/>
      <sz val="14"/>
      <name val="Times New Roman"/>
      <family val="1"/>
    </font>
    <font>
      <i/>
      <sz val="10"/>
      <name val="Times New Roman"/>
      <family val="1"/>
    </font>
    <font>
      <b/>
      <sz val="10"/>
      <color indexed="10"/>
      <name val="Times New Roman"/>
      <family val="1"/>
    </font>
    <font>
      <b/>
      <sz val="10"/>
      <name val="Times New Roman"/>
      <family val="1"/>
    </font>
    <font>
      <b/>
      <u/>
      <sz val="12"/>
      <name val="Times New Roman"/>
      <family val="1"/>
    </font>
    <font>
      <b/>
      <sz val="12"/>
      <color indexed="10"/>
      <name val="Times New Roman"/>
      <family val="1"/>
    </font>
    <font>
      <sz val="8"/>
      <name val="Times New Roman"/>
      <family val="1"/>
    </font>
    <font>
      <b/>
      <sz val="12"/>
      <color indexed="63"/>
      <name val="Arial"/>
      <family val="2"/>
    </font>
    <font>
      <b/>
      <sz val="12"/>
      <color indexed="63"/>
      <name val="Times New Roman"/>
      <family val="1"/>
    </font>
    <font>
      <sz val="12"/>
      <name val="Arial"/>
      <family val="2"/>
    </font>
    <font>
      <b/>
      <sz val="9"/>
      <color indexed="63"/>
      <name val="Arial"/>
      <family val="2"/>
    </font>
    <font>
      <sz val="11"/>
      <name val="Calibri"/>
      <family val="2"/>
    </font>
    <font>
      <sz val="12"/>
      <color indexed="63"/>
      <name val="Times New Roman"/>
      <family val="1"/>
    </font>
    <font>
      <sz val="12"/>
      <color indexed="23"/>
      <name val="Segoe UI"/>
      <family val="2"/>
    </font>
    <font>
      <sz val="12"/>
      <color indexed="23"/>
      <name val="Times New Roman"/>
      <family val="1"/>
    </font>
    <font>
      <b/>
      <sz val="12"/>
      <color indexed="23"/>
      <name val="Segoe UI"/>
      <family val="2"/>
    </font>
    <font>
      <sz val="14"/>
      <name val="Arial"/>
      <family val="2"/>
    </font>
    <font>
      <b/>
      <sz val="14"/>
      <name val="Arial"/>
      <family val="2"/>
    </font>
    <font>
      <b/>
      <sz val="12"/>
      <color rgb="FF333333"/>
      <name val="Arial"/>
      <family val="2"/>
    </font>
    <font>
      <sz val="9"/>
      <color rgb="FF333333"/>
      <name val="Arial"/>
      <family val="2"/>
    </font>
    <font>
      <b/>
      <sz val="9"/>
      <color rgb="FF333333"/>
      <name val="Arial"/>
      <family val="2"/>
    </font>
    <font>
      <sz val="12"/>
      <color rgb="FF333333"/>
      <name val="Arial"/>
      <family val="2"/>
    </font>
    <font>
      <sz val="7"/>
      <color rgb="FF454545"/>
      <name val="Segoe UI"/>
      <family val="2"/>
    </font>
    <font>
      <sz val="12"/>
      <color rgb="FF666666"/>
      <name val="Segoe UI"/>
      <family val="2"/>
    </font>
    <font>
      <sz val="12"/>
      <color rgb="FF666666"/>
      <name val="Symbol"/>
      <family val="1"/>
      <charset val="2"/>
    </font>
    <font>
      <b/>
      <sz val="14"/>
      <color rgb="FF333333"/>
      <name val="Arial"/>
      <family val="2"/>
    </font>
    <font>
      <b/>
      <sz val="12"/>
      <color theme="0"/>
      <name val="Times New Roman"/>
      <family val="1"/>
    </font>
    <font>
      <sz val="10"/>
      <color theme="0"/>
      <name val="Times New Roman"/>
      <family val="1"/>
    </font>
    <font>
      <i/>
      <sz val="9"/>
      <name val="Times New Roman"/>
      <family val="1"/>
    </font>
    <font>
      <b/>
      <u/>
      <sz val="10"/>
      <name val="Times New Roman"/>
      <family val="1"/>
    </font>
    <font>
      <b/>
      <sz val="10"/>
      <color theme="1"/>
      <name val="Times New Roman"/>
      <family val="1"/>
    </font>
    <font>
      <sz val="10"/>
      <color theme="1"/>
      <name val="Times New Roman"/>
      <family val="1"/>
    </font>
    <font>
      <b/>
      <sz val="9"/>
      <name val="Times New Roman"/>
      <family val="1"/>
    </font>
    <font>
      <b/>
      <u/>
      <sz val="9"/>
      <name val="Times New Roman"/>
      <family val="1"/>
    </font>
    <font>
      <sz val="10"/>
      <color theme="0" tint="-4.9989318521683403E-2"/>
      <name val="Times New Roman"/>
      <family val="1"/>
    </font>
    <font>
      <sz val="10"/>
      <color theme="1" tint="0.34998626667073579"/>
      <name val="Arial"/>
      <family val="2"/>
    </font>
    <font>
      <sz val="9"/>
      <name val="Times New Roman"/>
      <family val="1"/>
    </font>
    <font>
      <u/>
      <sz val="10"/>
      <color theme="10"/>
      <name val="Arial"/>
      <family val="2"/>
    </font>
    <font>
      <sz val="12"/>
      <name val="Times New Roman"/>
      <family val="1"/>
    </font>
    <font>
      <b/>
      <i/>
      <sz val="12"/>
      <name val="Times New Roman"/>
      <family val="1"/>
    </font>
    <font>
      <u/>
      <sz val="12"/>
      <color theme="10"/>
      <name val="Times New Roman"/>
      <family val="1"/>
    </font>
    <font>
      <u/>
      <sz val="10"/>
      <color theme="0"/>
      <name val="Times New Roman"/>
      <family val="1"/>
    </font>
    <font>
      <sz val="12"/>
      <color theme="0"/>
      <name val="Times New Roman"/>
      <family val="1"/>
    </font>
    <font>
      <u/>
      <sz val="11"/>
      <name val="Times New Roman"/>
      <family val="1"/>
    </font>
    <font>
      <sz val="11"/>
      <name val="Times New Roman"/>
      <family val="1"/>
    </font>
    <font>
      <sz val="10"/>
      <color theme="2"/>
      <name val="Times New Roman"/>
      <family val="1"/>
    </font>
  </fonts>
  <fills count="11">
    <fill>
      <patternFill patternType="none"/>
    </fill>
    <fill>
      <patternFill patternType="gray125"/>
    </fill>
    <fill>
      <patternFill patternType="solid">
        <fgColor indexed="8"/>
        <bgColor indexed="64"/>
      </patternFill>
    </fill>
    <fill>
      <patternFill patternType="solid">
        <fgColor indexed="42"/>
        <bgColor indexed="64"/>
      </patternFill>
    </fill>
    <fill>
      <patternFill patternType="solid">
        <fgColor theme="0"/>
        <bgColor indexed="64"/>
      </patternFill>
    </fill>
    <fill>
      <patternFill patternType="solid">
        <fgColor rgb="FFCCFFCC"/>
        <bgColor indexed="64"/>
      </patternFill>
    </fill>
    <fill>
      <patternFill patternType="solid">
        <fgColor theme="1"/>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0" tint="-4.9989318521683403E-2"/>
        <bgColor indexed="64"/>
      </patternFill>
    </fill>
    <fill>
      <patternFill patternType="solid">
        <fgColor rgb="FFDCE6F1"/>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1" fillId="0" borderId="0"/>
    <xf numFmtId="0" fontId="43" fillId="0" borderId="0" applyNumberFormat="0" applyFill="0" applyBorder="0" applyAlignment="0" applyProtection="0"/>
  </cellStyleXfs>
  <cellXfs count="331">
    <xf numFmtId="0" fontId="0" fillId="0" borderId="0" xfId="0"/>
    <xf numFmtId="0" fontId="4" fillId="0" borderId="0" xfId="0" applyFont="1" applyProtection="1">
      <protection hidden="1"/>
    </xf>
    <xf numFmtId="0" fontId="5" fillId="0" borderId="0" xfId="0" applyFont="1" applyAlignment="1" applyProtection="1">
      <alignment horizontal="right"/>
      <protection hidden="1"/>
    </xf>
    <xf numFmtId="164" fontId="4" fillId="0" borderId="0" xfId="0" applyNumberFormat="1" applyFont="1" applyProtection="1">
      <protection hidden="1"/>
    </xf>
    <xf numFmtId="164" fontId="5" fillId="0" borderId="0" xfId="0" applyNumberFormat="1" applyFont="1" applyProtection="1">
      <protection hidden="1"/>
    </xf>
    <xf numFmtId="0" fontId="5" fillId="0" borderId="0" xfId="0" applyFont="1" applyAlignment="1" applyProtection="1">
      <alignment horizontal="right" vertical="center"/>
      <protection hidden="1"/>
    </xf>
    <xf numFmtId="165" fontId="5" fillId="0" borderId="0" xfId="2" applyNumberFormat="1" applyFont="1" applyBorder="1" applyAlignment="1" applyProtection="1">
      <alignment horizontal="center"/>
      <protection hidden="1"/>
    </xf>
    <xf numFmtId="164" fontId="5" fillId="0" borderId="0" xfId="0" applyNumberFormat="1" applyFont="1" applyAlignment="1" applyProtection="1">
      <alignment horizontal="center"/>
      <protection hidden="1"/>
    </xf>
    <xf numFmtId="0" fontId="9" fillId="0" borderId="0" xfId="0" applyFont="1" applyAlignment="1" applyProtection="1">
      <alignment horizontal="center" wrapText="1"/>
      <protection hidden="1"/>
    </xf>
    <xf numFmtId="0" fontId="9" fillId="0" borderId="0" xfId="0" applyFont="1" applyAlignment="1" applyProtection="1">
      <alignment horizontal="center"/>
      <protection hidden="1"/>
    </xf>
    <xf numFmtId="164" fontId="4" fillId="0" borderId="2" xfId="0" applyNumberFormat="1" applyFont="1" applyBorder="1" applyProtection="1">
      <protection hidden="1"/>
    </xf>
    <xf numFmtId="0" fontId="0" fillId="0" borderId="0" xfId="0" applyProtection="1">
      <protection hidden="1"/>
    </xf>
    <xf numFmtId="0" fontId="4" fillId="0" borderId="0" xfId="0" applyFont="1" applyAlignment="1" applyProtection="1">
      <alignment horizontal="center"/>
      <protection hidden="1"/>
    </xf>
    <xf numFmtId="0" fontId="4" fillId="3" borderId="0" xfId="0" applyFont="1" applyFill="1" applyAlignment="1" applyProtection="1">
      <alignment horizontal="right"/>
      <protection hidden="1"/>
    </xf>
    <xf numFmtId="0" fontId="4" fillId="3" borderId="0" xfId="0" applyFont="1" applyFill="1" applyProtection="1">
      <protection hidden="1"/>
    </xf>
    <xf numFmtId="0" fontId="4" fillId="3" borderId="0" xfId="0" applyFont="1" applyFill="1" applyAlignment="1" applyProtection="1">
      <alignment horizontal="center"/>
      <protection hidden="1"/>
    </xf>
    <xf numFmtId="0" fontId="24" fillId="0" borderId="0" xfId="0" applyFont="1" applyAlignment="1">
      <alignment horizontal="left" vertical="center" indent="2"/>
    </xf>
    <xf numFmtId="0" fontId="15" fillId="0" borderId="0" xfId="0" applyFont="1"/>
    <xf numFmtId="0" fontId="25" fillId="0" borderId="0" xfId="0" applyFont="1" applyAlignment="1">
      <alignment horizontal="left" vertical="center" indent="2"/>
    </xf>
    <xf numFmtId="0" fontId="17" fillId="0" borderId="0" xfId="0" applyFont="1" applyAlignment="1">
      <alignment horizontal="left" vertical="center" indent="2"/>
    </xf>
    <xf numFmtId="0" fontId="17" fillId="0" borderId="0" xfId="0" applyFont="1" applyAlignment="1">
      <alignment vertical="center"/>
    </xf>
    <xf numFmtId="0" fontId="26" fillId="0" borderId="0" xfId="0" applyFont="1" applyAlignment="1">
      <alignment horizontal="left"/>
    </xf>
    <xf numFmtId="0" fontId="27" fillId="0" borderId="0" xfId="0" applyFont="1" applyAlignment="1">
      <alignment horizontal="left" vertical="center" indent="2"/>
    </xf>
    <xf numFmtId="0" fontId="2" fillId="0" borderId="0" xfId="0" applyFont="1"/>
    <xf numFmtId="0" fontId="28" fillId="0" borderId="0" xfId="0" applyFont="1" applyAlignment="1">
      <alignment vertical="center"/>
    </xf>
    <xf numFmtId="0" fontId="29" fillId="0" borderId="0" xfId="0" applyFont="1" applyAlignment="1">
      <alignment horizontal="left" vertical="center" indent="12"/>
    </xf>
    <xf numFmtId="0" fontId="15" fillId="0" borderId="0" xfId="0" applyFont="1" applyAlignment="1">
      <alignment horizontal="left" indent="13"/>
    </xf>
    <xf numFmtId="0" fontId="29" fillId="0" borderId="0" xfId="0" applyFont="1" applyAlignment="1">
      <alignment horizontal="left" vertical="center" indent="14"/>
    </xf>
    <xf numFmtId="0" fontId="24" fillId="0" borderId="0" xfId="0" applyFont="1" applyAlignment="1">
      <alignment horizontal="left" vertical="center" indent="13"/>
    </xf>
    <xf numFmtId="0" fontId="2" fillId="0" borderId="0" xfId="0" applyFont="1" applyAlignment="1">
      <alignment horizontal="left" indent="13"/>
    </xf>
    <xf numFmtId="0" fontId="15" fillId="0" borderId="0" xfId="0" applyFont="1" applyAlignment="1">
      <alignment horizontal="left" indent="25"/>
    </xf>
    <xf numFmtId="0" fontId="15" fillId="0" borderId="0" xfId="0" applyFont="1" applyAlignment="1">
      <alignment horizontal="left" indent="14"/>
    </xf>
    <xf numFmtId="0" fontId="15" fillId="0" borderId="0" xfId="0" applyFont="1" applyAlignment="1">
      <alignment horizontal="left" indent="12"/>
    </xf>
    <xf numFmtId="0" fontId="30" fillId="0" borderId="0" xfId="0" applyFont="1" applyAlignment="1">
      <alignment horizontal="left" vertical="center" indent="16"/>
    </xf>
    <xf numFmtId="0" fontId="15" fillId="0" borderId="0" xfId="0" applyFont="1" applyAlignment="1">
      <alignment horizontal="left" indent="21"/>
    </xf>
    <xf numFmtId="0" fontId="24" fillId="0" borderId="0" xfId="0" applyFont="1" applyAlignment="1">
      <alignment horizontal="left" vertical="center" indent="21"/>
    </xf>
    <xf numFmtId="0" fontId="22" fillId="0" borderId="0" xfId="0" applyFont="1"/>
    <xf numFmtId="0" fontId="31" fillId="0" borderId="0" xfId="0" applyFont="1" applyAlignment="1">
      <alignment horizontal="left" vertical="center"/>
    </xf>
    <xf numFmtId="0" fontId="23" fillId="0" borderId="0" xfId="0" applyFont="1" applyAlignment="1">
      <alignment horizontal="left"/>
    </xf>
    <xf numFmtId="0" fontId="22" fillId="0" borderId="0" xfId="0" applyFont="1" applyAlignment="1">
      <alignment horizontal="left"/>
    </xf>
    <xf numFmtId="0" fontId="31" fillId="0" borderId="0" xfId="0" applyFont="1" applyAlignment="1">
      <alignment vertical="center"/>
    </xf>
    <xf numFmtId="0" fontId="23" fillId="0" borderId="0" xfId="0" applyFont="1"/>
    <xf numFmtId="167" fontId="5" fillId="0" borderId="3" xfId="0" applyNumberFormat="1" applyFont="1" applyBorder="1" applyProtection="1">
      <protection hidden="1"/>
    </xf>
    <xf numFmtId="0" fontId="5" fillId="0" borderId="0" xfId="0" applyFont="1" applyAlignment="1" applyProtection="1">
      <alignment vertical="center"/>
      <protection hidden="1"/>
    </xf>
    <xf numFmtId="0" fontId="10" fillId="0" borderId="0" xfId="0" applyFont="1" applyProtection="1">
      <protection hidden="1"/>
    </xf>
    <xf numFmtId="0" fontId="5" fillId="0" borderId="0" xfId="0" applyFont="1" applyProtection="1">
      <protection hidden="1"/>
    </xf>
    <xf numFmtId="167" fontId="9" fillId="0" borderId="0" xfId="0" applyNumberFormat="1" applyFont="1" applyProtection="1">
      <protection hidden="1"/>
    </xf>
    <xf numFmtId="0" fontId="9" fillId="0" borderId="0" xfId="0" applyFont="1" applyAlignment="1" applyProtection="1">
      <alignment horizontal="right"/>
      <protection hidden="1"/>
    </xf>
    <xf numFmtId="0" fontId="4" fillId="0" borderId="0" xfId="0" applyFont="1" applyAlignment="1" applyProtection="1">
      <alignment horizontal="right"/>
      <protection hidden="1"/>
    </xf>
    <xf numFmtId="0" fontId="5" fillId="0" borderId="0" xfId="0" applyFont="1" applyAlignment="1" applyProtection="1">
      <alignment horizontal="center"/>
      <protection hidden="1"/>
    </xf>
    <xf numFmtId="0" fontId="7" fillId="0" borderId="0" xfId="0" applyFont="1" applyProtection="1">
      <protection hidden="1"/>
    </xf>
    <xf numFmtId="0" fontId="12" fillId="0" borderId="0" xfId="0" applyFont="1" applyProtection="1">
      <protection hidden="1"/>
    </xf>
    <xf numFmtId="0" fontId="34" fillId="0" borderId="0" xfId="0" applyFont="1" applyProtection="1">
      <protection hidden="1"/>
    </xf>
    <xf numFmtId="167" fontId="4" fillId="7" borderId="1" xfId="0" applyNumberFormat="1" applyFont="1" applyFill="1" applyBorder="1" applyProtection="1">
      <protection hidden="1"/>
    </xf>
    <xf numFmtId="167" fontId="4" fillId="5" borderId="10" xfId="0" applyNumberFormat="1" applyFont="1" applyFill="1" applyBorder="1" applyProtection="1">
      <protection locked="0"/>
    </xf>
    <xf numFmtId="167" fontId="4" fillId="5" borderId="1" xfId="0" applyNumberFormat="1" applyFont="1" applyFill="1" applyBorder="1" applyProtection="1">
      <protection locked="0"/>
    </xf>
    <xf numFmtId="168" fontId="5" fillId="7" borderId="1" xfId="2" applyNumberFormat="1" applyFont="1" applyFill="1" applyBorder="1" applyAlignment="1" applyProtection="1">
      <alignment horizontal="center"/>
      <protection hidden="1"/>
    </xf>
    <xf numFmtId="10" fontId="9" fillId="5" borderId="1" xfId="0" applyNumberFormat="1" applyFont="1" applyFill="1" applyBorder="1" applyAlignment="1" applyProtection="1">
      <alignment horizontal="center"/>
      <protection locked="0"/>
    </xf>
    <xf numFmtId="167" fontId="5" fillId="7" borderId="1" xfId="0" applyNumberFormat="1" applyFont="1" applyFill="1" applyBorder="1" applyAlignment="1" applyProtection="1">
      <alignment horizontal="center"/>
      <protection hidden="1"/>
    </xf>
    <xf numFmtId="164" fontId="4" fillId="7" borderId="1" xfId="0" applyNumberFormat="1" applyFont="1" applyFill="1" applyBorder="1" applyProtection="1">
      <protection hidden="1"/>
    </xf>
    <xf numFmtId="164" fontId="4" fillId="5" borderId="1" xfId="0" applyNumberFormat="1" applyFont="1" applyFill="1" applyBorder="1" applyProtection="1">
      <protection locked="0"/>
    </xf>
    <xf numFmtId="167" fontId="5" fillId="7" borderId="1" xfId="0" applyNumberFormat="1" applyFont="1" applyFill="1" applyBorder="1" applyProtection="1">
      <protection hidden="1"/>
    </xf>
    <xf numFmtId="164" fontId="5" fillId="7" borderId="1" xfId="0" applyNumberFormat="1" applyFont="1" applyFill="1" applyBorder="1" applyProtection="1">
      <protection hidden="1"/>
    </xf>
    <xf numFmtId="164" fontId="5" fillId="7" borderId="1" xfId="0" applyNumberFormat="1" applyFont="1" applyFill="1" applyBorder="1" applyAlignment="1" applyProtection="1">
      <alignment horizontal="center"/>
      <protection hidden="1"/>
    </xf>
    <xf numFmtId="10" fontId="4" fillId="5" borderId="1" xfId="2" applyNumberFormat="1" applyFont="1" applyFill="1" applyBorder="1" applyAlignment="1" applyProtection="1">
      <alignment horizontal="center"/>
      <protection locked="0"/>
    </xf>
    <xf numFmtId="164" fontId="5" fillId="7" borderId="1" xfId="0" applyNumberFormat="1" applyFont="1" applyFill="1" applyBorder="1"/>
    <xf numFmtId="166" fontId="9" fillId="7" borderId="5" xfId="0" applyNumberFormat="1" applyFont="1" applyFill="1" applyBorder="1" applyAlignment="1">
      <alignment horizontal="right"/>
    </xf>
    <xf numFmtId="0" fontId="4" fillId="5" borderId="1" xfId="0" applyFont="1" applyFill="1" applyBorder="1" applyAlignment="1" applyProtection="1">
      <alignment horizontal="center"/>
      <protection locked="0"/>
    </xf>
    <xf numFmtId="0" fontId="5" fillId="5" borderId="1" xfId="0" applyFont="1" applyFill="1" applyBorder="1" applyAlignment="1" applyProtection="1">
      <alignment horizontal="right"/>
      <protection locked="0"/>
    </xf>
    <xf numFmtId="43" fontId="12" fillId="5" borderId="1" xfId="1" applyFont="1" applyFill="1" applyBorder="1" applyAlignment="1" applyProtection="1">
      <alignment horizontal="center"/>
      <protection locked="0"/>
    </xf>
    <xf numFmtId="0" fontId="4" fillId="7" borderId="14" xfId="0" applyFont="1" applyFill="1" applyBorder="1" applyProtection="1">
      <protection hidden="1"/>
    </xf>
    <xf numFmtId="0" fontId="4" fillId="7" borderId="15" xfId="0" applyFont="1" applyFill="1" applyBorder="1" applyProtection="1">
      <protection hidden="1"/>
    </xf>
    <xf numFmtId="0" fontId="6" fillId="4" borderId="0" xfId="0" applyFont="1" applyFill="1" applyProtection="1">
      <protection hidden="1"/>
    </xf>
    <xf numFmtId="0" fontId="4" fillId="4" borderId="0" xfId="0" applyFont="1" applyFill="1" applyProtection="1">
      <protection hidden="1"/>
    </xf>
    <xf numFmtId="0" fontId="4" fillId="4" borderId="0" xfId="0" applyFont="1" applyFill="1" applyAlignment="1" applyProtection="1">
      <alignment horizontal="right"/>
      <protection hidden="1"/>
    </xf>
    <xf numFmtId="0" fontId="5" fillId="4" borderId="0" xfId="0" applyFont="1" applyFill="1" applyAlignment="1" applyProtection="1">
      <alignment horizontal="right"/>
      <protection hidden="1"/>
    </xf>
    <xf numFmtId="0" fontId="7" fillId="4" borderId="0" xfId="0" applyFont="1" applyFill="1" applyProtection="1">
      <protection hidden="1"/>
    </xf>
    <xf numFmtId="0" fontId="11" fillId="4" borderId="0" xfId="0" applyFont="1" applyFill="1" applyAlignment="1" applyProtection="1">
      <alignment horizontal="right"/>
      <protection hidden="1"/>
    </xf>
    <xf numFmtId="0" fontId="7" fillId="4" borderId="0" xfId="0" applyFont="1" applyFill="1" applyAlignment="1" applyProtection="1">
      <alignment horizontal="left"/>
      <protection hidden="1"/>
    </xf>
    <xf numFmtId="0" fontId="9" fillId="4" borderId="0" xfId="0" applyFont="1" applyFill="1" applyAlignment="1" applyProtection="1">
      <alignment horizontal="right"/>
      <protection hidden="1"/>
    </xf>
    <xf numFmtId="0" fontId="8" fillId="4" borderId="0" xfId="0" applyFont="1" applyFill="1" applyAlignment="1" applyProtection="1">
      <alignment horizontal="center"/>
      <protection hidden="1"/>
    </xf>
    <xf numFmtId="164" fontId="4" fillId="4" borderId="0" xfId="0" applyNumberFormat="1" applyFont="1" applyFill="1" applyProtection="1">
      <protection hidden="1"/>
    </xf>
    <xf numFmtId="164" fontId="5" fillId="4" borderId="0" xfId="0" applyNumberFormat="1" applyFont="1" applyFill="1" applyProtection="1">
      <protection hidden="1"/>
    </xf>
    <xf numFmtId="0" fontId="4" fillId="4" borderId="0" xfId="0" applyFont="1" applyFill="1" applyAlignment="1" applyProtection="1">
      <alignment horizontal="left"/>
      <protection hidden="1"/>
    </xf>
    <xf numFmtId="0" fontId="4" fillId="5" borderId="13" xfId="0" applyFont="1" applyFill="1" applyBorder="1" applyProtection="1">
      <protection hidden="1"/>
    </xf>
    <xf numFmtId="0" fontId="4" fillId="3" borderId="11" xfId="0" applyFont="1" applyFill="1" applyBorder="1" applyProtection="1">
      <protection hidden="1"/>
    </xf>
    <xf numFmtId="0" fontId="5" fillId="4" borderId="0" xfId="0" applyFont="1" applyFill="1" applyAlignment="1" applyProtection="1">
      <alignment horizontal="center"/>
      <protection hidden="1"/>
    </xf>
    <xf numFmtId="10" fontId="4" fillId="7" borderId="1" xfId="2" applyNumberFormat="1" applyFont="1" applyFill="1" applyBorder="1" applyProtection="1">
      <protection hidden="1"/>
    </xf>
    <xf numFmtId="10" fontId="4" fillId="5" borderId="10" xfId="2" applyNumberFormat="1" applyFont="1" applyFill="1" applyBorder="1" applyProtection="1">
      <protection locked="0"/>
    </xf>
    <xf numFmtId="10" fontId="9" fillId="7" borderId="9" xfId="2" applyNumberFormat="1" applyFont="1" applyFill="1" applyBorder="1" applyAlignment="1" applyProtection="1">
      <alignment horizontal="right"/>
      <protection hidden="1"/>
    </xf>
    <xf numFmtId="10" fontId="9" fillId="7" borderId="1" xfId="2" applyNumberFormat="1" applyFont="1" applyFill="1" applyBorder="1" applyAlignment="1" applyProtection="1">
      <alignment horizontal="right"/>
      <protection hidden="1"/>
    </xf>
    <xf numFmtId="10" fontId="4" fillId="7" borderId="1" xfId="0" applyNumberFormat="1" applyFont="1" applyFill="1" applyBorder="1" applyAlignment="1" applyProtection="1">
      <alignment horizontal="right"/>
      <protection hidden="1"/>
    </xf>
    <xf numFmtId="167" fontId="9" fillId="7" borderId="9" xfId="0" applyNumberFormat="1" applyFont="1" applyFill="1" applyBorder="1" applyProtection="1">
      <protection hidden="1"/>
    </xf>
    <xf numFmtId="0" fontId="4" fillId="8" borderId="16" xfId="0" applyFont="1" applyFill="1" applyBorder="1" applyProtection="1">
      <protection hidden="1"/>
    </xf>
    <xf numFmtId="0" fontId="4" fillId="8" borderId="18" xfId="0" applyFont="1" applyFill="1" applyBorder="1" applyProtection="1">
      <protection hidden="1"/>
    </xf>
    <xf numFmtId="169" fontId="5" fillId="7" borderId="1" xfId="2" applyNumberFormat="1" applyFont="1" applyFill="1" applyBorder="1" applyAlignment="1" applyProtection="1">
      <alignment horizontal="center"/>
      <protection hidden="1"/>
    </xf>
    <xf numFmtId="169" fontId="9" fillId="7" borderId="1" xfId="0" applyNumberFormat="1" applyFont="1" applyFill="1" applyBorder="1" applyAlignment="1" applyProtection="1">
      <alignment horizontal="center"/>
      <protection hidden="1"/>
    </xf>
    <xf numFmtId="169" fontId="5" fillId="7" borderId="1" xfId="0" applyNumberFormat="1" applyFont="1" applyFill="1" applyBorder="1" applyAlignment="1" applyProtection="1">
      <alignment horizontal="center"/>
      <protection hidden="1"/>
    </xf>
    <xf numFmtId="169" fontId="9" fillId="0" borderId="0" xfId="0" applyNumberFormat="1" applyFont="1" applyProtection="1">
      <protection hidden="1"/>
    </xf>
    <xf numFmtId="0" fontId="9" fillId="4" borderId="0" xfId="0" applyFont="1" applyFill="1" applyAlignment="1" applyProtection="1">
      <alignment horizontal="center" wrapText="1"/>
      <protection hidden="1"/>
    </xf>
    <xf numFmtId="0" fontId="4" fillId="7" borderId="0" xfId="0" applyFont="1" applyFill="1" applyAlignment="1" applyProtection="1">
      <alignment horizontal="center" vertical="center"/>
      <protection hidden="1"/>
    </xf>
    <xf numFmtId="0" fontId="4" fillId="8" borderId="17" xfId="0" applyFont="1" applyFill="1" applyBorder="1" applyAlignment="1" applyProtection="1">
      <alignment horizontal="center" vertical="center"/>
      <protection hidden="1"/>
    </xf>
    <xf numFmtId="0" fontId="4" fillId="5" borderId="12" xfId="0" applyFont="1" applyFill="1" applyBorder="1" applyAlignment="1" applyProtection="1">
      <alignment horizontal="center" vertical="center"/>
      <protection hidden="1"/>
    </xf>
    <xf numFmtId="0" fontId="5" fillId="5" borderId="1" xfId="0" applyFont="1" applyFill="1" applyBorder="1" applyAlignment="1" applyProtection="1">
      <alignment horizontal="center"/>
      <protection locked="0"/>
    </xf>
    <xf numFmtId="10" fontId="4" fillId="5" borderId="1" xfId="0" applyNumberFormat="1" applyFont="1" applyFill="1" applyBorder="1" applyAlignment="1" applyProtection="1">
      <alignment horizontal="right"/>
      <protection locked="0"/>
    </xf>
    <xf numFmtId="0" fontId="33" fillId="4" borderId="0" xfId="0" applyFont="1" applyFill="1" applyAlignment="1" applyProtection="1">
      <alignment horizontal="right"/>
      <protection hidden="1"/>
    </xf>
    <xf numFmtId="0" fontId="5" fillId="0" borderId="11" xfId="0" applyFont="1" applyBorder="1" applyAlignment="1" applyProtection="1">
      <alignment horizontal="right"/>
      <protection hidden="1"/>
    </xf>
    <xf numFmtId="0" fontId="5" fillId="0" borderId="12" xfId="0" applyFont="1" applyBorder="1" applyAlignment="1" applyProtection="1">
      <alignment horizontal="right"/>
      <protection hidden="1"/>
    </xf>
    <xf numFmtId="0" fontId="4" fillId="0" borderId="12" xfId="0" applyFont="1" applyBorder="1" applyProtection="1">
      <protection hidden="1"/>
    </xf>
    <xf numFmtId="0" fontId="4" fillId="0" borderId="13" xfId="0" applyFont="1" applyBorder="1" applyProtection="1">
      <protection hidden="1"/>
    </xf>
    <xf numFmtId="0" fontId="5" fillId="4" borderId="14" xfId="0" applyFont="1" applyFill="1" applyBorder="1" applyAlignment="1" applyProtection="1">
      <alignment horizontal="right"/>
      <protection hidden="1"/>
    </xf>
    <xf numFmtId="0" fontId="4" fillId="0" borderId="15" xfId="0" applyFont="1" applyBorder="1" applyProtection="1">
      <protection hidden="1"/>
    </xf>
    <xf numFmtId="0" fontId="4" fillId="0" borderId="14" xfId="0" applyFont="1" applyBorder="1" applyProtection="1">
      <protection hidden="1"/>
    </xf>
    <xf numFmtId="0" fontId="35" fillId="0" borderId="0" xfId="0" applyFont="1" applyProtection="1">
      <protection hidden="1"/>
    </xf>
    <xf numFmtId="0" fontId="4" fillId="0" borderId="16" xfId="0" applyFont="1" applyBorder="1" applyProtection="1">
      <protection hidden="1"/>
    </xf>
    <xf numFmtId="0" fontId="4" fillId="0" borderId="17" xfId="0" applyFont="1" applyBorder="1" applyProtection="1">
      <protection hidden="1"/>
    </xf>
    <xf numFmtId="0" fontId="0" fillId="0" borderId="17" xfId="0" applyBorder="1" applyProtection="1">
      <protection hidden="1"/>
    </xf>
    <xf numFmtId="0" fontId="4" fillId="0" borderId="18" xfId="0" applyFont="1" applyBorder="1" applyProtection="1">
      <protection hidden="1"/>
    </xf>
    <xf numFmtId="10" fontId="9" fillId="4" borderId="6" xfId="2" applyNumberFormat="1" applyFont="1" applyFill="1" applyBorder="1" applyAlignment="1" applyProtection="1">
      <alignment horizontal="right"/>
      <protection hidden="1"/>
    </xf>
    <xf numFmtId="164" fontId="35" fillId="0" borderId="19" xfId="0" applyNumberFormat="1" applyFont="1" applyBorder="1" applyAlignment="1" applyProtection="1">
      <alignment horizontal="center" vertical="center"/>
      <protection hidden="1"/>
    </xf>
    <xf numFmtId="0" fontId="35" fillId="0" borderId="0" xfId="0" applyFont="1" applyAlignment="1" applyProtection="1">
      <alignment horizontal="center"/>
      <protection hidden="1"/>
    </xf>
    <xf numFmtId="0" fontId="9" fillId="7" borderId="5" xfId="0" applyFont="1" applyFill="1" applyBorder="1" applyAlignment="1" applyProtection="1">
      <alignment horizontal="center"/>
      <protection hidden="1"/>
    </xf>
    <xf numFmtId="164" fontId="4" fillId="4" borderId="0" xfId="0" applyNumberFormat="1" applyFont="1" applyFill="1"/>
    <xf numFmtId="2" fontId="5" fillId="4" borderId="0" xfId="0" applyNumberFormat="1" applyFont="1" applyFill="1" applyAlignment="1">
      <alignment horizontal="center"/>
    </xf>
    <xf numFmtId="167" fontId="4" fillId="4" borderId="0" xfId="0" applyNumberFormat="1" applyFont="1" applyFill="1" applyProtection="1">
      <protection locked="0"/>
    </xf>
    <xf numFmtId="10" fontId="4" fillId="4" borderId="0" xfId="2" applyNumberFormat="1" applyFont="1" applyFill="1" applyBorder="1" applyAlignment="1" applyProtection="1">
      <alignment horizontal="center"/>
      <protection locked="0"/>
    </xf>
    <xf numFmtId="0" fontId="34" fillId="0" borderId="0" xfId="0" applyFont="1" applyAlignment="1" applyProtection="1">
      <alignment horizontal="right" vertical="top"/>
      <protection hidden="1"/>
    </xf>
    <xf numFmtId="0" fontId="9" fillId="0" borderId="0" xfId="0" applyFont="1" applyAlignment="1" applyProtection="1">
      <alignment horizontal="left"/>
      <protection hidden="1"/>
    </xf>
    <xf numFmtId="164" fontId="5" fillId="0" borderId="2" xfId="0" applyNumberFormat="1" applyFont="1" applyBorder="1" applyProtection="1">
      <protection hidden="1"/>
    </xf>
    <xf numFmtId="164" fontId="32" fillId="0" borderId="0" xfId="0" applyNumberFormat="1" applyFont="1"/>
    <xf numFmtId="0" fontId="36" fillId="5" borderId="0" xfId="0" applyFont="1" applyFill="1" applyAlignment="1" applyProtection="1">
      <alignment horizontal="left"/>
      <protection hidden="1"/>
    </xf>
    <xf numFmtId="0" fontId="37" fillId="5" borderId="0" xfId="0" applyFont="1" applyFill="1" applyProtection="1">
      <protection hidden="1"/>
    </xf>
    <xf numFmtId="0" fontId="37" fillId="5" borderId="15" xfId="0" applyFont="1" applyFill="1" applyBorder="1" applyProtection="1">
      <protection hidden="1"/>
    </xf>
    <xf numFmtId="7" fontId="9" fillId="8" borderId="0" xfId="0" applyNumberFormat="1" applyFont="1" applyFill="1" applyProtection="1">
      <protection hidden="1"/>
    </xf>
    <xf numFmtId="171" fontId="5" fillId="7" borderId="1" xfId="0" applyNumberFormat="1" applyFont="1" applyFill="1" applyBorder="1" applyAlignment="1" applyProtection="1">
      <alignment horizontal="center"/>
      <protection hidden="1"/>
    </xf>
    <xf numFmtId="10" fontId="4" fillId="5" borderId="1" xfId="2" applyNumberFormat="1" applyFont="1" applyFill="1" applyBorder="1" applyProtection="1">
      <protection locked="0"/>
    </xf>
    <xf numFmtId="0" fontId="4" fillId="0" borderId="0" xfId="3" applyFont="1"/>
    <xf numFmtId="0" fontId="4" fillId="4" borderId="0" xfId="3" applyFont="1" applyFill="1" applyProtection="1">
      <protection hidden="1"/>
    </xf>
    <xf numFmtId="0" fontId="5" fillId="4" borderId="0" xfId="3" applyFont="1" applyFill="1" applyAlignment="1" applyProtection="1">
      <alignment horizontal="center"/>
      <protection hidden="1"/>
    </xf>
    <xf numFmtId="0" fontId="4" fillId="9" borderId="0" xfId="3" applyFont="1" applyFill="1"/>
    <xf numFmtId="0" fontId="4" fillId="3" borderId="11" xfId="3" applyFont="1" applyFill="1" applyBorder="1" applyProtection="1">
      <protection hidden="1"/>
    </xf>
    <xf numFmtId="0" fontId="4" fillId="5" borderId="12" xfId="3" applyFont="1" applyFill="1" applyBorder="1" applyAlignment="1" applyProtection="1">
      <alignment horizontal="center" vertical="center"/>
      <protection hidden="1"/>
    </xf>
    <xf numFmtId="0" fontId="4" fillId="5" borderId="13" xfId="3" applyFont="1" applyFill="1" applyBorder="1" applyProtection="1">
      <protection hidden="1"/>
    </xf>
    <xf numFmtId="0" fontId="4" fillId="7" borderId="14" xfId="3" applyFont="1" applyFill="1" applyBorder="1" applyProtection="1">
      <protection hidden="1"/>
    </xf>
    <xf numFmtId="0" fontId="4" fillId="7" borderId="0" xfId="3" applyFont="1" applyFill="1" applyAlignment="1" applyProtection="1">
      <alignment horizontal="center" vertical="center"/>
      <protection hidden="1"/>
    </xf>
    <xf numFmtId="0" fontId="4" fillId="7" borderId="15" xfId="3" applyFont="1" applyFill="1" applyBorder="1" applyProtection="1">
      <protection hidden="1"/>
    </xf>
    <xf numFmtId="0" fontId="5" fillId="0" borderId="0" xfId="3" applyFont="1" applyAlignment="1" applyProtection="1">
      <alignment horizontal="right"/>
      <protection hidden="1"/>
    </xf>
    <xf numFmtId="0" fontId="4" fillId="8" borderId="16" xfId="3" applyFont="1" applyFill="1" applyBorder="1" applyProtection="1">
      <protection hidden="1"/>
    </xf>
    <xf numFmtId="0" fontId="4" fillId="8" borderId="17" xfId="3" applyFont="1" applyFill="1" applyBorder="1" applyAlignment="1" applyProtection="1">
      <alignment horizontal="center" vertical="center"/>
      <protection hidden="1"/>
    </xf>
    <xf numFmtId="0" fontId="4" fillId="8" borderId="18" xfId="3" applyFont="1" applyFill="1" applyBorder="1" applyProtection="1">
      <protection hidden="1"/>
    </xf>
    <xf numFmtId="0" fontId="5" fillId="0" borderId="0" xfId="3" applyFont="1" applyAlignment="1" applyProtection="1">
      <alignment horizontal="center"/>
      <protection hidden="1"/>
    </xf>
    <xf numFmtId="10" fontId="9" fillId="7" borderId="1" xfId="3" applyNumberFormat="1" applyFont="1" applyFill="1" applyBorder="1" applyAlignment="1" applyProtection="1">
      <alignment horizontal="right"/>
      <protection hidden="1"/>
    </xf>
    <xf numFmtId="0" fontId="5" fillId="0" borderId="0" xfId="3" applyFont="1" applyAlignment="1" applyProtection="1">
      <alignment horizontal="right" vertical="center"/>
      <protection hidden="1"/>
    </xf>
    <xf numFmtId="167" fontId="9" fillId="5" borderId="1" xfId="3" applyNumberFormat="1" applyFont="1" applyFill="1" applyBorder="1" applyProtection="1">
      <protection locked="0"/>
    </xf>
    <xf numFmtId="0" fontId="40" fillId="9" borderId="0" xfId="3" applyFont="1" applyFill="1"/>
    <xf numFmtId="167" fontId="9" fillId="7" borderId="1" xfId="3" applyNumberFormat="1" applyFont="1" applyFill="1" applyBorder="1" applyProtection="1">
      <protection hidden="1"/>
    </xf>
    <xf numFmtId="0" fontId="4" fillId="0" borderId="0" xfId="3" applyFont="1" applyAlignment="1" applyProtection="1">
      <alignment horizontal="right"/>
      <protection hidden="1"/>
    </xf>
    <xf numFmtId="0" fontId="9" fillId="0" borderId="0" xfId="3" applyFont="1" applyProtection="1">
      <protection hidden="1"/>
    </xf>
    <xf numFmtId="0" fontId="4" fillId="0" borderId="0" xfId="3" applyFont="1" applyProtection="1">
      <protection hidden="1"/>
    </xf>
    <xf numFmtId="0" fontId="7" fillId="0" borderId="0" xfId="3" applyFont="1" applyProtection="1">
      <protection hidden="1"/>
    </xf>
    <xf numFmtId="9" fontId="40" fillId="9" borderId="0" xfId="2" applyFont="1" applyFill="1"/>
    <xf numFmtId="173" fontId="4" fillId="7" borderId="1" xfId="2" applyNumberFormat="1" applyFont="1" applyFill="1" applyBorder="1" applyProtection="1">
      <protection hidden="1"/>
    </xf>
    <xf numFmtId="169" fontId="4" fillId="7" borderId="1" xfId="3" applyNumberFormat="1" applyFont="1" applyFill="1" applyBorder="1" applyProtection="1">
      <protection hidden="1"/>
    </xf>
    <xf numFmtId="172" fontId="9" fillId="7" borderId="1" xfId="3" applyNumberFormat="1" applyFont="1" applyFill="1" applyBorder="1" applyProtection="1">
      <protection hidden="1"/>
    </xf>
    <xf numFmtId="172" fontId="4" fillId="0" borderId="0" xfId="3" applyNumberFormat="1" applyFont="1"/>
    <xf numFmtId="164" fontId="9" fillId="7" borderId="1" xfId="3" applyNumberFormat="1" applyFont="1" applyFill="1" applyBorder="1" applyProtection="1">
      <protection hidden="1"/>
    </xf>
    <xf numFmtId="0" fontId="4" fillId="9" borderId="0" xfId="3" applyFont="1" applyFill="1" applyAlignment="1">
      <alignment wrapText="1"/>
    </xf>
    <xf numFmtId="0" fontId="7" fillId="4" borderId="0" xfId="3" applyFont="1" applyFill="1" applyProtection="1">
      <protection hidden="1"/>
    </xf>
    <xf numFmtId="0" fontId="7" fillId="0" borderId="0" xfId="3" applyFont="1" applyAlignment="1" applyProtection="1">
      <alignment vertical="top" wrapText="1"/>
      <protection hidden="1"/>
    </xf>
    <xf numFmtId="10" fontId="9" fillId="5" borderId="1" xfId="2" applyNumberFormat="1" applyFont="1" applyFill="1" applyBorder="1" applyProtection="1">
      <protection locked="0"/>
    </xf>
    <xf numFmtId="2" fontId="4" fillId="0" borderId="0" xfId="3" applyNumberFormat="1" applyFont="1" applyProtection="1">
      <protection hidden="1"/>
    </xf>
    <xf numFmtId="164" fontId="4" fillId="0" borderId="0" xfId="3" applyNumberFormat="1" applyFont="1" applyProtection="1">
      <protection hidden="1"/>
    </xf>
    <xf numFmtId="167" fontId="9" fillId="8" borderId="1" xfId="3" applyNumberFormat="1" applyFont="1" applyFill="1" applyBorder="1" applyProtection="1">
      <protection locked="0"/>
    </xf>
    <xf numFmtId="0" fontId="41" fillId="0" borderId="0" xfId="3" applyFont="1" applyAlignment="1" applyProtection="1">
      <alignment vertical="top"/>
      <protection hidden="1"/>
    </xf>
    <xf numFmtId="0" fontId="41" fillId="0" borderId="0" xfId="3" applyFont="1" applyAlignment="1">
      <alignment vertical="top"/>
    </xf>
    <xf numFmtId="0" fontId="41" fillId="0" borderId="0" xfId="3" applyFont="1" applyAlignment="1" applyProtection="1">
      <alignment vertical="top" wrapText="1"/>
      <protection hidden="1"/>
    </xf>
    <xf numFmtId="0" fontId="41" fillId="0" borderId="0" xfId="3" applyFont="1" applyAlignment="1">
      <alignment vertical="top" wrapText="1"/>
    </xf>
    <xf numFmtId="43" fontId="4" fillId="5" borderId="1" xfId="1" applyFont="1" applyFill="1" applyBorder="1" applyAlignment="1" applyProtection="1">
      <alignment horizontal="center"/>
      <protection locked="0"/>
    </xf>
    <xf numFmtId="0" fontId="4" fillId="0" borderId="0" xfId="0" applyFont="1"/>
    <xf numFmtId="0" fontId="4" fillId="9" borderId="0" xfId="0" applyFont="1" applyFill="1"/>
    <xf numFmtId="10" fontId="9" fillId="7" borderId="1" xfId="0" applyNumberFormat="1" applyFont="1" applyFill="1" applyBorder="1" applyAlignment="1" applyProtection="1">
      <alignment horizontal="right"/>
      <protection hidden="1"/>
    </xf>
    <xf numFmtId="167" fontId="9" fillId="5" borderId="1" xfId="0" applyNumberFormat="1" applyFont="1" applyFill="1" applyBorder="1" applyProtection="1">
      <protection locked="0"/>
    </xf>
    <xf numFmtId="0" fontId="4" fillId="9" borderId="0" xfId="0" applyFont="1" applyFill="1" applyProtection="1">
      <protection hidden="1"/>
    </xf>
    <xf numFmtId="167" fontId="9" fillId="7" borderId="1" xfId="0" applyNumberFormat="1" applyFont="1" applyFill="1" applyBorder="1" applyProtection="1">
      <protection hidden="1"/>
    </xf>
    <xf numFmtId="0" fontId="9" fillId="0" borderId="0" xfId="0" applyFont="1" applyProtection="1">
      <protection hidden="1"/>
    </xf>
    <xf numFmtId="169" fontId="4" fillId="7" borderId="1" xfId="0" applyNumberFormat="1" applyFont="1" applyFill="1" applyBorder="1" applyProtection="1">
      <protection hidden="1"/>
    </xf>
    <xf numFmtId="172" fontId="9" fillId="7" borderId="1" xfId="0" applyNumberFormat="1" applyFont="1" applyFill="1" applyBorder="1" applyProtection="1">
      <protection hidden="1"/>
    </xf>
    <xf numFmtId="172" fontId="4" fillId="0" borderId="0" xfId="0" applyNumberFormat="1" applyFont="1"/>
    <xf numFmtId="164" fontId="9" fillId="7" borderId="1" xfId="0" applyNumberFormat="1" applyFont="1" applyFill="1" applyBorder="1" applyProtection="1">
      <protection hidden="1"/>
    </xf>
    <xf numFmtId="0" fontId="4" fillId="9" borderId="0" xfId="0" applyFont="1" applyFill="1" applyAlignment="1">
      <alignment wrapText="1"/>
    </xf>
    <xf numFmtId="0" fontId="7" fillId="0" borderId="0" xfId="0" applyFont="1" applyAlignment="1" applyProtection="1">
      <alignment vertical="top" wrapText="1"/>
      <protection hidden="1"/>
    </xf>
    <xf numFmtId="2" fontId="4" fillId="0" borderId="0" xfId="0" applyNumberFormat="1" applyFont="1" applyProtection="1">
      <protection hidden="1"/>
    </xf>
    <xf numFmtId="0" fontId="41" fillId="0" borderId="0" xfId="3" applyFont="1" applyAlignment="1" applyProtection="1">
      <alignment wrapText="1"/>
      <protection hidden="1"/>
    </xf>
    <xf numFmtId="164" fontId="5" fillId="0" borderId="7" xfId="0" applyNumberFormat="1" applyFont="1" applyBorder="1" applyProtection="1">
      <protection hidden="1"/>
    </xf>
    <xf numFmtId="164" fontId="5" fillId="0" borderId="6" xfId="0" applyNumberFormat="1" applyFont="1" applyBorder="1" applyProtection="1">
      <protection hidden="1"/>
    </xf>
    <xf numFmtId="0" fontId="41" fillId="0" borderId="0" xfId="3" applyFont="1" applyProtection="1">
      <protection hidden="1"/>
    </xf>
    <xf numFmtId="174" fontId="4" fillId="0" borderId="0" xfId="3" applyNumberFormat="1" applyFont="1"/>
    <xf numFmtId="166" fontId="9" fillId="0" borderId="0" xfId="0" applyNumberFormat="1" applyFont="1" applyAlignment="1" applyProtection="1">
      <alignment horizontal="center"/>
      <protection hidden="1"/>
    </xf>
    <xf numFmtId="175" fontId="9" fillId="7" borderId="1" xfId="0" applyNumberFormat="1" applyFont="1" applyFill="1" applyBorder="1" applyProtection="1">
      <protection hidden="1"/>
    </xf>
    <xf numFmtId="0" fontId="43" fillId="0" borderId="0" xfId="4" applyAlignment="1" applyProtection="1">
      <alignment horizontal="left"/>
      <protection hidden="1"/>
    </xf>
    <xf numFmtId="0" fontId="4" fillId="0" borderId="0" xfId="0" applyFont="1" applyAlignment="1" applyProtection="1">
      <alignment horizontal="left"/>
      <protection hidden="1"/>
    </xf>
    <xf numFmtId="0" fontId="6" fillId="0" borderId="0" xfId="0" applyFont="1" applyAlignment="1" applyProtection="1">
      <alignment horizontal="center"/>
      <protection hidden="1"/>
    </xf>
    <xf numFmtId="0" fontId="4" fillId="3" borderId="14" xfId="0" applyFont="1" applyFill="1" applyBorder="1" applyProtection="1">
      <protection hidden="1"/>
    </xf>
    <xf numFmtId="0" fontId="4" fillId="5" borderId="15" xfId="0" applyFont="1" applyFill="1" applyBorder="1" applyProtection="1">
      <protection hidden="1"/>
    </xf>
    <xf numFmtId="176" fontId="4" fillId="5" borderId="1" xfId="0" applyNumberFormat="1" applyFont="1" applyFill="1" applyBorder="1" applyAlignment="1" applyProtection="1">
      <alignment horizontal="right"/>
      <protection locked="0"/>
    </xf>
    <xf numFmtId="0" fontId="4" fillId="7" borderId="1" xfId="0" applyFont="1" applyFill="1" applyBorder="1" applyAlignment="1" applyProtection="1">
      <alignment horizontal="center"/>
      <protection hidden="1"/>
    </xf>
    <xf numFmtId="170" fontId="5" fillId="7" borderId="1" xfId="0" applyNumberFormat="1" applyFont="1" applyFill="1" applyBorder="1" applyAlignment="1" applyProtection="1">
      <alignment horizontal="center"/>
      <protection hidden="1"/>
    </xf>
    <xf numFmtId="164" fontId="4" fillId="2" borderId="1" xfId="0" applyNumberFormat="1" applyFont="1" applyFill="1" applyBorder="1" applyAlignment="1" applyProtection="1">
      <alignment horizontal="right"/>
      <protection hidden="1"/>
    </xf>
    <xf numFmtId="164" fontId="5" fillId="7" borderId="4" xfId="0" applyNumberFormat="1" applyFont="1" applyFill="1" applyBorder="1" applyProtection="1">
      <protection hidden="1"/>
    </xf>
    <xf numFmtId="10" fontId="4" fillId="7" borderId="5" xfId="2" applyNumberFormat="1" applyFont="1" applyFill="1" applyBorder="1" applyAlignment="1" applyProtection="1">
      <alignment horizontal="center"/>
      <protection hidden="1"/>
    </xf>
    <xf numFmtId="0" fontId="5" fillId="0" borderId="0" xfId="3" applyFont="1" applyAlignment="1" applyProtection="1">
      <alignment vertical="center"/>
      <protection hidden="1"/>
    </xf>
    <xf numFmtId="0" fontId="44" fillId="0" borderId="0" xfId="0" applyFont="1"/>
    <xf numFmtId="0" fontId="44" fillId="0" borderId="0" xfId="3" applyFont="1" applyProtection="1">
      <protection hidden="1"/>
    </xf>
    <xf numFmtId="0" fontId="44" fillId="0" borderId="0" xfId="3" applyFont="1" applyAlignment="1" applyProtection="1">
      <alignment horizontal="left" vertical="center"/>
      <protection hidden="1"/>
    </xf>
    <xf numFmtId="0" fontId="44" fillId="0" borderId="0" xfId="3" applyFont="1" applyAlignment="1" applyProtection="1">
      <alignment horizontal="center" vertical="center"/>
      <protection hidden="1"/>
    </xf>
    <xf numFmtId="0" fontId="45" fillId="0" borderId="0" xfId="3" applyFont="1" applyProtection="1">
      <protection hidden="1"/>
    </xf>
    <xf numFmtId="0" fontId="44" fillId="6" borderId="0" xfId="3" applyFont="1" applyFill="1" applyProtection="1">
      <protection hidden="1"/>
    </xf>
    <xf numFmtId="0" fontId="4" fillId="0" borderId="0" xfId="3" quotePrefix="1" applyFont="1" applyAlignment="1" applyProtection="1">
      <alignment horizontal="center"/>
      <protection hidden="1"/>
    </xf>
    <xf numFmtId="0" fontId="4" fillId="0" borderId="0" xfId="3" applyFont="1" applyAlignment="1" applyProtection="1">
      <alignment horizontal="center"/>
      <protection hidden="1"/>
    </xf>
    <xf numFmtId="0" fontId="44" fillId="0" borderId="0" xfId="0" applyFont="1" applyProtection="1">
      <protection hidden="1"/>
    </xf>
    <xf numFmtId="0" fontId="44" fillId="6" borderId="0" xfId="0" applyFont="1" applyFill="1" applyProtection="1">
      <protection hidden="1"/>
    </xf>
    <xf numFmtId="0" fontId="5" fillId="6" borderId="0" xfId="0" applyFont="1" applyFill="1" applyAlignment="1" applyProtection="1">
      <alignment horizontal="center" vertical="center"/>
      <protection hidden="1"/>
    </xf>
    <xf numFmtId="0" fontId="44" fillId="6" borderId="0" xfId="0" applyFont="1" applyFill="1" applyAlignment="1" applyProtection="1">
      <alignment horizontal="left" vertical="center" indent="6"/>
      <protection hidden="1"/>
    </xf>
    <xf numFmtId="0" fontId="46" fillId="6" borderId="0" xfId="4" applyFont="1" applyFill="1" applyAlignment="1" applyProtection="1">
      <alignment horizontal="left" vertical="center" indent="6"/>
      <protection hidden="1"/>
    </xf>
    <xf numFmtId="0" fontId="4" fillId="0" borderId="0" xfId="0" quotePrefix="1" applyFont="1" applyAlignment="1" applyProtection="1">
      <alignment horizontal="center"/>
      <protection hidden="1"/>
    </xf>
    <xf numFmtId="177" fontId="4" fillId="0" borderId="0" xfId="0" applyNumberFormat="1" applyFont="1" applyProtection="1">
      <protection hidden="1"/>
    </xf>
    <xf numFmtId="0" fontId="4" fillId="6" borderId="0" xfId="0" applyFont="1" applyFill="1" applyProtection="1">
      <protection hidden="1"/>
    </xf>
    <xf numFmtId="178" fontId="4" fillId="0" borderId="0" xfId="0" applyNumberFormat="1" applyFont="1" applyAlignment="1" applyProtection="1">
      <alignment horizontal="left"/>
      <protection hidden="1"/>
    </xf>
    <xf numFmtId="0" fontId="44" fillId="4" borderId="0" xfId="0" applyFont="1" applyFill="1" applyProtection="1">
      <protection hidden="1"/>
    </xf>
    <xf numFmtId="0" fontId="44" fillId="4" borderId="0" xfId="3" applyFont="1" applyFill="1" applyProtection="1">
      <protection hidden="1"/>
    </xf>
    <xf numFmtId="0" fontId="44" fillId="4" borderId="0" xfId="0" applyFont="1" applyFill="1"/>
    <xf numFmtId="0" fontId="48" fillId="0" borderId="0" xfId="3" applyFont="1" applyProtection="1">
      <protection hidden="1"/>
    </xf>
    <xf numFmtId="179" fontId="4" fillId="0" borderId="0" xfId="3" applyNumberFormat="1" applyFont="1" applyProtection="1">
      <protection hidden="1"/>
    </xf>
    <xf numFmtId="0" fontId="49" fillId="0" borderId="0" xfId="3" applyFont="1" applyProtection="1">
      <protection hidden="1"/>
    </xf>
    <xf numFmtId="0" fontId="50" fillId="0" borderId="0" xfId="3" applyFont="1" applyProtection="1">
      <protection hidden="1"/>
    </xf>
    <xf numFmtId="0" fontId="50" fillId="5" borderId="1" xfId="0" applyFont="1" applyFill="1" applyBorder="1" applyAlignment="1" applyProtection="1">
      <alignment horizontal="center"/>
      <protection locked="0"/>
    </xf>
    <xf numFmtId="180" fontId="50" fillId="0" borderId="0" xfId="3" applyNumberFormat="1" applyFont="1" applyProtection="1">
      <protection locked="0"/>
    </xf>
    <xf numFmtId="0" fontId="50" fillId="0" borderId="0" xfId="0" applyFont="1" applyAlignment="1">
      <alignment vertical="center"/>
    </xf>
    <xf numFmtId="0" fontId="4" fillId="5" borderId="0" xfId="0" quotePrefix="1" applyFont="1" applyFill="1" applyAlignment="1" applyProtection="1">
      <alignment horizontal="center" vertical="center"/>
      <protection hidden="1"/>
    </xf>
    <xf numFmtId="0" fontId="51" fillId="9" borderId="0" xfId="0" applyFont="1" applyFill="1"/>
    <xf numFmtId="9" fontId="51" fillId="9" borderId="0" xfId="2" applyFont="1" applyFill="1"/>
    <xf numFmtId="164" fontId="4" fillId="6" borderId="1" xfId="0" applyNumberFormat="1" applyFont="1" applyFill="1" applyBorder="1" applyProtection="1">
      <protection hidden="1"/>
    </xf>
    <xf numFmtId="0" fontId="50" fillId="5" borderId="1" xfId="0" quotePrefix="1" applyFont="1" applyFill="1" applyBorder="1" applyAlignment="1" applyProtection="1">
      <alignment horizontal="center"/>
      <protection locked="0"/>
    </xf>
    <xf numFmtId="166" fontId="9" fillId="7" borderId="5" xfId="0" applyNumberFormat="1" applyFont="1" applyFill="1" applyBorder="1" applyAlignment="1" applyProtection="1">
      <alignment horizontal="right"/>
      <protection hidden="1"/>
    </xf>
    <xf numFmtId="164" fontId="5" fillId="10" borderId="1" xfId="0" applyNumberFormat="1" applyFont="1" applyFill="1" applyBorder="1" applyProtection="1">
      <protection hidden="1"/>
    </xf>
    <xf numFmtId="43" fontId="4" fillId="10" borderId="1" xfId="1" applyFont="1" applyFill="1" applyBorder="1" applyAlignment="1" applyProtection="1">
      <alignment horizontal="center"/>
      <protection hidden="1"/>
    </xf>
    <xf numFmtId="43" fontId="12" fillId="10" borderId="1" xfId="1" applyFont="1" applyFill="1" applyBorder="1" applyAlignment="1" applyProtection="1">
      <alignment horizontal="center"/>
      <protection hidden="1"/>
    </xf>
    <xf numFmtId="0" fontId="37" fillId="9" borderId="0" xfId="3" applyFont="1" applyFill="1"/>
    <xf numFmtId="0" fontId="37" fillId="9" borderId="0" xfId="3" applyFont="1" applyFill="1" applyProtection="1">
      <protection hidden="1"/>
    </xf>
    <xf numFmtId="15" fontId="50" fillId="5" borderId="1" xfId="0" applyNumberFormat="1" applyFont="1" applyFill="1" applyBorder="1" applyAlignment="1" applyProtection="1">
      <alignment horizontal="center"/>
      <protection locked="0"/>
    </xf>
    <xf numFmtId="0" fontId="43" fillId="5" borderId="1" xfId="4" applyFill="1" applyBorder="1" applyAlignment="1" applyProtection="1">
      <alignment horizontal="center"/>
      <protection locked="0"/>
    </xf>
    <xf numFmtId="169" fontId="5" fillId="5" borderId="1" xfId="0" applyNumberFormat="1" applyFont="1" applyFill="1" applyBorder="1" applyAlignment="1" applyProtection="1">
      <alignment horizontal="center"/>
      <protection locked="0"/>
    </xf>
    <xf numFmtId="169" fontId="5" fillId="6" borderId="1" xfId="0" applyNumberFormat="1" applyFont="1" applyFill="1" applyBorder="1" applyAlignment="1" applyProtection="1">
      <alignment horizontal="center"/>
      <protection hidden="1"/>
    </xf>
    <xf numFmtId="169" fontId="5" fillId="6" borderId="0" xfId="0" applyNumberFormat="1" applyFont="1" applyFill="1" applyAlignment="1" applyProtection="1">
      <alignment horizontal="center"/>
      <protection hidden="1"/>
    </xf>
    <xf numFmtId="0" fontId="38" fillId="8" borderId="11" xfId="0" applyFont="1" applyFill="1" applyBorder="1" applyAlignment="1" applyProtection="1">
      <alignment horizontal="center" vertical="center" wrapText="1"/>
      <protection hidden="1"/>
    </xf>
    <xf numFmtId="0" fontId="38" fillId="8" borderId="12" xfId="0" applyFont="1" applyFill="1" applyBorder="1" applyAlignment="1" applyProtection="1">
      <alignment horizontal="center" vertical="center" wrapText="1"/>
      <protection hidden="1"/>
    </xf>
    <xf numFmtId="0" fontId="38" fillId="8" borderId="13" xfId="0" applyFont="1" applyFill="1" applyBorder="1" applyAlignment="1" applyProtection="1">
      <alignment horizontal="center" vertical="center" wrapText="1"/>
      <protection hidden="1"/>
    </xf>
    <xf numFmtId="0" fontId="38" fillId="8" borderId="14" xfId="0" applyFont="1" applyFill="1" applyBorder="1" applyAlignment="1" applyProtection="1">
      <alignment horizontal="center" vertical="center" wrapText="1"/>
      <protection hidden="1"/>
    </xf>
    <xf numFmtId="0" fontId="38" fillId="8" borderId="0" xfId="0" applyFont="1" applyFill="1" applyAlignment="1" applyProtection="1">
      <alignment horizontal="center" vertical="center" wrapText="1"/>
      <protection hidden="1"/>
    </xf>
    <xf numFmtId="0" fontId="38" fillId="8" borderId="15" xfId="0" applyFont="1" applyFill="1" applyBorder="1" applyAlignment="1" applyProtection="1">
      <alignment horizontal="center" vertical="center" wrapText="1"/>
      <protection hidden="1"/>
    </xf>
    <xf numFmtId="0" fontId="38" fillId="8" borderId="16" xfId="0" applyFont="1" applyFill="1" applyBorder="1" applyAlignment="1" applyProtection="1">
      <alignment horizontal="center" vertical="center" wrapText="1"/>
      <protection hidden="1"/>
    </xf>
    <xf numFmtId="0" fontId="38" fillId="8" borderId="17" xfId="0" applyFont="1" applyFill="1" applyBorder="1" applyAlignment="1" applyProtection="1">
      <alignment horizontal="center" vertical="center" wrapText="1"/>
      <protection hidden="1"/>
    </xf>
    <xf numFmtId="0" fontId="38" fillId="8" borderId="18" xfId="0" applyFont="1" applyFill="1" applyBorder="1" applyAlignment="1" applyProtection="1">
      <alignment horizontal="center" vertical="center" wrapText="1"/>
      <protection hidden="1"/>
    </xf>
    <xf numFmtId="0" fontId="9" fillId="8" borderId="11" xfId="0" applyFont="1" applyFill="1" applyBorder="1" applyAlignment="1" applyProtection="1">
      <alignment horizontal="center" vertical="center" wrapText="1"/>
      <protection hidden="1"/>
    </xf>
    <xf numFmtId="0" fontId="4" fillId="8" borderId="12" xfId="0" applyFont="1" applyFill="1" applyBorder="1" applyAlignment="1" applyProtection="1">
      <alignment horizontal="center" vertical="center" wrapText="1"/>
      <protection hidden="1"/>
    </xf>
    <xf numFmtId="0" fontId="4" fillId="8" borderId="13" xfId="0" applyFont="1" applyFill="1" applyBorder="1" applyAlignment="1" applyProtection="1">
      <alignment horizontal="center" vertical="center" wrapText="1"/>
      <protection hidden="1"/>
    </xf>
    <xf numFmtId="0" fontId="4" fillId="8" borderId="14" xfId="0" applyFont="1" applyFill="1" applyBorder="1" applyAlignment="1" applyProtection="1">
      <alignment horizontal="center" vertical="center" wrapText="1"/>
      <protection hidden="1"/>
    </xf>
    <xf numFmtId="0" fontId="4" fillId="8" borderId="0" xfId="0" applyFont="1" applyFill="1" applyAlignment="1" applyProtection="1">
      <alignment horizontal="center" vertical="center" wrapText="1"/>
      <protection hidden="1"/>
    </xf>
    <xf numFmtId="0" fontId="4" fillId="8" borderId="15" xfId="0" applyFont="1" applyFill="1" applyBorder="1" applyAlignment="1" applyProtection="1">
      <alignment horizontal="center" vertical="center" wrapText="1"/>
      <protection hidden="1"/>
    </xf>
    <xf numFmtId="0" fontId="4" fillId="8" borderId="16" xfId="0" applyFont="1" applyFill="1" applyBorder="1" applyAlignment="1" applyProtection="1">
      <alignment horizontal="center" vertical="center" wrapText="1"/>
      <protection hidden="1"/>
    </xf>
    <xf numFmtId="0" fontId="4" fillId="8" borderId="17" xfId="0" applyFont="1" applyFill="1" applyBorder="1" applyAlignment="1" applyProtection="1">
      <alignment horizontal="center" vertical="center" wrapText="1"/>
      <protection hidden="1"/>
    </xf>
    <xf numFmtId="0" fontId="4" fillId="8" borderId="18" xfId="0" applyFont="1" applyFill="1" applyBorder="1" applyAlignment="1" applyProtection="1">
      <alignment horizontal="center" vertical="center" wrapText="1"/>
      <protection hidden="1"/>
    </xf>
    <xf numFmtId="0" fontId="9" fillId="8" borderId="13" xfId="0" applyFont="1" applyFill="1" applyBorder="1" applyAlignment="1" applyProtection="1">
      <alignment horizontal="center" vertical="center" wrapText="1"/>
      <protection hidden="1"/>
    </xf>
    <xf numFmtId="0" fontId="9" fillId="8" borderId="16" xfId="0" applyFont="1" applyFill="1" applyBorder="1" applyAlignment="1" applyProtection="1">
      <alignment horizontal="center" vertical="center" wrapText="1"/>
      <protection hidden="1"/>
    </xf>
    <xf numFmtId="0" fontId="9" fillId="8" borderId="18" xfId="0" applyFont="1" applyFill="1" applyBorder="1" applyAlignment="1" applyProtection="1">
      <alignment horizontal="center" vertical="center" wrapText="1"/>
      <protection hidden="1"/>
    </xf>
    <xf numFmtId="0" fontId="33" fillId="0" borderId="0" xfId="0" applyFont="1" applyAlignment="1">
      <alignment horizontal="center"/>
    </xf>
    <xf numFmtId="0" fontId="47" fillId="4" borderId="0" xfId="0" applyFont="1" applyFill="1" applyAlignment="1" applyProtection="1">
      <alignment horizontal="center"/>
      <protection hidden="1"/>
    </xf>
    <xf numFmtId="0" fontId="33" fillId="4" borderId="0" xfId="0" applyFont="1" applyFill="1" applyAlignment="1" applyProtection="1">
      <alignment horizontal="center"/>
      <protection hidden="1"/>
    </xf>
    <xf numFmtId="0" fontId="6" fillId="0" borderId="0" xfId="0" applyFont="1" applyAlignment="1" applyProtection="1">
      <alignment horizontal="right" vertical="center"/>
      <protection hidden="1"/>
    </xf>
    <xf numFmtId="0" fontId="4" fillId="5" borderId="11" xfId="0" applyFont="1" applyFill="1" applyBorder="1" applyAlignment="1" applyProtection="1">
      <alignment horizontal="center" vertical="center"/>
      <protection hidden="1"/>
    </xf>
    <xf numFmtId="0" fontId="4" fillId="5" borderId="12" xfId="0" applyFont="1" applyFill="1" applyBorder="1" applyAlignment="1" applyProtection="1">
      <alignment horizontal="center" vertical="center"/>
      <protection hidden="1"/>
    </xf>
    <xf numFmtId="0" fontId="4" fillId="5" borderId="13" xfId="0" applyFont="1" applyFill="1" applyBorder="1" applyAlignment="1" applyProtection="1">
      <alignment horizontal="center" vertical="center"/>
      <protection hidden="1"/>
    </xf>
    <xf numFmtId="0" fontId="4" fillId="7" borderId="14" xfId="0" applyFont="1" applyFill="1" applyBorder="1" applyAlignment="1" applyProtection="1">
      <alignment horizontal="center" vertical="center"/>
      <protection hidden="1"/>
    </xf>
    <xf numFmtId="0" fontId="4" fillId="7" borderId="0" xfId="0" applyFont="1" applyFill="1" applyAlignment="1" applyProtection="1">
      <alignment horizontal="center" vertical="center"/>
      <protection hidden="1"/>
    </xf>
    <xf numFmtId="0" fontId="4" fillId="7" borderId="15" xfId="0" applyFont="1" applyFill="1" applyBorder="1" applyAlignment="1" applyProtection="1">
      <alignment horizontal="center" vertical="center"/>
      <protection hidden="1"/>
    </xf>
    <xf numFmtId="0" fontId="4" fillId="8" borderId="16" xfId="0" applyFont="1" applyFill="1" applyBorder="1" applyAlignment="1" applyProtection="1">
      <alignment horizontal="center" vertical="center"/>
      <protection hidden="1"/>
    </xf>
    <xf numFmtId="0" fontId="4" fillId="8" borderId="17" xfId="0" applyFont="1" applyFill="1" applyBorder="1" applyAlignment="1" applyProtection="1">
      <alignment horizontal="center" vertical="center"/>
      <protection hidden="1"/>
    </xf>
    <xf numFmtId="0" fontId="4" fillId="8" borderId="18" xfId="0" applyFont="1" applyFill="1" applyBorder="1" applyAlignment="1" applyProtection="1">
      <alignment horizontal="center" vertical="center"/>
      <protection hidden="1"/>
    </xf>
    <xf numFmtId="0" fontId="6" fillId="0" borderId="0" xfId="0" applyFont="1" applyAlignment="1" applyProtection="1">
      <alignment horizontal="right"/>
      <protection hidden="1"/>
    </xf>
    <xf numFmtId="0" fontId="10" fillId="0" borderId="0" xfId="0" applyFont="1" applyAlignment="1" applyProtection="1">
      <alignment horizontal="center"/>
      <protection hidden="1"/>
    </xf>
    <xf numFmtId="0" fontId="4" fillId="0" borderId="2" xfId="0" applyFont="1" applyBorder="1" applyAlignment="1" applyProtection="1">
      <alignment horizontal="center"/>
      <protection hidden="1"/>
    </xf>
    <xf numFmtId="0" fontId="4" fillId="0" borderId="0" xfId="0" applyFont="1" applyAlignment="1" applyProtection="1">
      <alignment horizontal="center"/>
      <protection hidden="1"/>
    </xf>
    <xf numFmtId="0" fontId="5" fillId="0" borderId="0" xfId="0" applyFont="1" applyAlignment="1" applyProtection="1">
      <alignment horizontal="center"/>
      <protection hidden="1"/>
    </xf>
    <xf numFmtId="0" fontId="9" fillId="0" borderId="6" xfId="0" applyFont="1" applyBorder="1" applyAlignment="1" applyProtection="1">
      <alignment horizontal="center" wrapText="1"/>
      <protection hidden="1"/>
    </xf>
    <xf numFmtId="0" fontId="9" fillId="0" borderId="7" xfId="0" applyFont="1" applyBorder="1" applyAlignment="1" applyProtection="1">
      <alignment horizontal="center" wrapText="1"/>
      <protection hidden="1"/>
    </xf>
    <xf numFmtId="0" fontId="9" fillId="0" borderId="0" xfId="0" applyFont="1" applyAlignment="1" applyProtection="1">
      <alignment horizontal="center" wrapText="1"/>
      <protection hidden="1"/>
    </xf>
    <xf numFmtId="0" fontId="34" fillId="8" borderId="12" xfId="0" applyFont="1" applyFill="1" applyBorder="1" applyAlignment="1" applyProtection="1">
      <alignment horizontal="center"/>
      <protection hidden="1"/>
    </xf>
    <xf numFmtId="0" fontId="5" fillId="4" borderId="17" xfId="0" applyFont="1" applyFill="1" applyBorder="1" applyAlignment="1" applyProtection="1">
      <alignment horizontal="center"/>
      <protection hidden="1"/>
    </xf>
    <xf numFmtId="0" fontId="35" fillId="0" borderId="17" xfId="0" applyFont="1" applyBorder="1" applyAlignment="1" applyProtection="1">
      <alignment horizontal="center" vertical="center" wrapText="1"/>
      <protection hidden="1"/>
    </xf>
    <xf numFmtId="0" fontId="6" fillId="0" borderId="0" xfId="3" applyFont="1" applyAlignment="1" applyProtection="1">
      <alignment horizontal="right"/>
      <protection hidden="1"/>
    </xf>
    <xf numFmtId="0" fontId="7" fillId="0" borderId="0" xfId="3" applyFont="1" applyAlignment="1" applyProtection="1">
      <alignment horizontal="left" vertical="center" wrapText="1"/>
      <protection hidden="1"/>
    </xf>
    <xf numFmtId="0" fontId="42" fillId="8" borderId="11" xfId="3" applyFont="1" applyFill="1" applyBorder="1" applyAlignment="1" applyProtection="1">
      <alignment horizontal="left" vertical="top" wrapText="1"/>
      <protection hidden="1"/>
    </xf>
    <xf numFmtId="0" fontId="42" fillId="8" borderId="12" xfId="3" applyFont="1" applyFill="1" applyBorder="1" applyAlignment="1" applyProtection="1">
      <alignment horizontal="left" vertical="top" wrapText="1"/>
      <protection hidden="1"/>
    </xf>
    <xf numFmtId="0" fontId="42" fillId="8" borderId="13" xfId="3" applyFont="1" applyFill="1" applyBorder="1" applyAlignment="1" applyProtection="1">
      <alignment horizontal="left" vertical="top" wrapText="1"/>
      <protection hidden="1"/>
    </xf>
    <xf numFmtId="0" fontId="42" fillId="8" borderId="14" xfId="3" applyFont="1" applyFill="1" applyBorder="1" applyAlignment="1" applyProtection="1">
      <alignment horizontal="left" vertical="top" wrapText="1"/>
      <protection hidden="1"/>
    </xf>
    <xf numFmtId="0" fontId="42" fillId="8" borderId="0" xfId="3" applyFont="1" applyFill="1" applyAlignment="1" applyProtection="1">
      <alignment horizontal="left" vertical="top" wrapText="1"/>
      <protection hidden="1"/>
    </xf>
    <xf numFmtId="0" fontId="42" fillId="8" borderId="15" xfId="3" applyFont="1" applyFill="1" applyBorder="1" applyAlignment="1" applyProtection="1">
      <alignment horizontal="left" vertical="top" wrapText="1"/>
      <protection hidden="1"/>
    </xf>
    <xf numFmtId="0" fontId="42" fillId="8" borderId="16" xfId="3" applyFont="1" applyFill="1" applyBorder="1" applyAlignment="1" applyProtection="1">
      <alignment horizontal="left" vertical="top" wrapText="1"/>
      <protection hidden="1"/>
    </xf>
    <xf numFmtId="0" fontId="42" fillId="8" borderId="17" xfId="3" applyFont="1" applyFill="1" applyBorder="1" applyAlignment="1" applyProtection="1">
      <alignment horizontal="left" vertical="top" wrapText="1"/>
      <protection hidden="1"/>
    </xf>
    <xf numFmtId="0" fontId="42" fillId="8" borderId="18" xfId="3" applyFont="1" applyFill="1" applyBorder="1" applyAlignment="1" applyProtection="1">
      <alignment horizontal="left" vertical="top" wrapText="1"/>
      <protection hidden="1"/>
    </xf>
    <xf numFmtId="0" fontId="41" fillId="0" borderId="0" xfId="3" applyFont="1" applyAlignment="1" applyProtection="1">
      <alignment horizontal="left" vertical="top" wrapText="1"/>
      <protection hidden="1"/>
    </xf>
    <xf numFmtId="0" fontId="6" fillId="0" borderId="0" xfId="0" applyFont="1" applyAlignment="1" applyProtection="1">
      <alignment horizontal="center"/>
      <protection hidden="1"/>
    </xf>
    <xf numFmtId="169" fontId="5" fillId="7" borderId="4" xfId="2" applyNumberFormat="1" applyFont="1" applyFill="1" applyBorder="1" applyAlignment="1" applyProtection="1">
      <alignment horizontal="center"/>
      <protection hidden="1"/>
    </xf>
    <xf numFmtId="169" fontId="5" fillId="7" borderId="8" xfId="2" applyNumberFormat="1" applyFont="1" applyFill="1" applyBorder="1" applyAlignment="1" applyProtection="1">
      <alignment horizontal="center"/>
      <protection hidden="1"/>
    </xf>
    <xf numFmtId="167" fontId="5" fillId="7" borderId="4" xfId="0" applyNumberFormat="1" applyFont="1" applyFill="1" applyBorder="1" applyAlignment="1" applyProtection="1">
      <alignment horizontal="center"/>
      <protection hidden="1"/>
    </xf>
    <xf numFmtId="167" fontId="5" fillId="7" borderId="8" xfId="0" applyNumberFormat="1" applyFont="1" applyFill="1" applyBorder="1" applyAlignment="1" applyProtection="1">
      <alignment horizontal="center"/>
      <protection hidden="1"/>
    </xf>
    <xf numFmtId="0" fontId="5" fillId="0" borderId="0" xfId="0" applyFont="1" applyAlignment="1" applyProtection="1">
      <alignment horizontal="center" vertical="center" wrapText="1"/>
      <protection hidden="1"/>
    </xf>
    <xf numFmtId="0" fontId="5" fillId="0" borderId="7" xfId="0" applyFont="1" applyBorder="1" applyAlignment="1" applyProtection="1">
      <alignment horizontal="center" vertical="center" wrapText="1"/>
      <protection hidden="1"/>
    </xf>
    <xf numFmtId="0" fontId="9" fillId="0" borderId="12" xfId="0" applyFont="1" applyBorder="1" applyAlignment="1" applyProtection="1">
      <alignment horizontal="center" wrapText="1"/>
      <protection hidden="1"/>
    </xf>
    <xf numFmtId="0" fontId="7" fillId="0" borderId="0" xfId="0" applyFont="1" applyAlignment="1" applyProtection="1">
      <alignment horizontal="left" vertical="center" wrapText="1"/>
      <protection hidden="1"/>
    </xf>
    <xf numFmtId="0" fontId="42" fillId="8" borderId="11" xfId="0" applyFont="1" applyFill="1" applyBorder="1" applyAlignment="1" applyProtection="1">
      <alignment horizontal="left" vertical="top" wrapText="1"/>
      <protection hidden="1"/>
    </xf>
    <xf numFmtId="0" fontId="42" fillId="8" borderId="12" xfId="0" applyFont="1" applyFill="1" applyBorder="1" applyAlignment="1" applyProtection="1">
      <alignment horizontal="left" vertical="top" wrapText="1"/>
      <protection hidden="1"/>
    </xf>
    <xf numFmtId="0" fontId="42" fillId="8" borderId="13" xfId="0" applyFont="1" applyFill="1" applyBorder="1" applyAlignment="1" applyProtection="1">
      <alignment horizontal="left" vertical="top" wrapText="1"/>
      <protection hidden="1"/>
    </xf>
    <xf numFmtId="0" fontId="42" fillId="8" borderId="14" xfId="0" applyFont="1" applyFill="1" applyBorder="1" applyAlignment="1" applyProtection="1">
      <alignment horizontal="left" vertical="top" wrapText="1"/>
      <protection hidden="1"/>
    </xf>
    <xf numFmtId="0" fontId="42" fillId="8" borderId="0" xfId="0" applyFont="1" applyFill="1" applyAlignment="1" applyProtection="1">
      <alignment horizontal="left" vertical="top" wrapText="1"/>
      <protection hidden="1"/>
    </xf>
    <xf numFmtId="0" fontId="42" fillId="8" borderId="15" xfId="0" applyFont="1" applyFill="1" applyBorder="1" applyAlignment="1" applyProtection="1">
      <alignment horizontal="left" vertical="top" wrapText="1"/>
      <protection hidden="1"/>
    </xf>
    <xf numFmtId="0" fontId="42" fillId="8" borderId="16" xfId="0" applyFont="1" applyFill="1" applyBorder="1" applyAlignment="1" applyProtection="1">
      <alignment horizontal="left" vertical="top" wrapText="1"/>
      <protection hidden="1"/>
    </xf>
    <xf numFmtId="0" fontId="42" fillId="8" borderId="17" xfId="0" applyFont="1" applyFill="1" applyBorder="1" applyAlignment="1" applyProtection="1">
      <alignment horizontal="left" vertical="top" wrapText="1"/>
      <protection hidden="1"/>
    </xf>
    <xf numFmtId="0" fontId="42" fillId="8" borderId="18" xfId="0" applyFont="1" applyFill="1" applyBorder="1" applyAlignment="1" applyProtection="1">
      <alignment horizontal="left" vertical="top" wrapText="1"/>
      <protection hidden="1"/>
    </xf>
    <xf numFmtId="0" fontId="5" fillId="0" borderId="0" xfId="0" applyFont="1" applyAlignment="1" applyProtection="1">
      <alignment horizontal="center" vertical="center"/>
      <protection hidden="1"/>
    </xf>
    <xf numFmtId="178" fontId="4" fillId="0" borderId="0" xfId="0" applyNumberFormat="1" applyFont="1" applyAlignment="1" applyProtection="1">
      <alignment horizontal="left"/>
      <protection hidden="1"/>
    </xf>
  </cellXfs>
  <cellStyles count="5">
    <cellStyle name="Comma" xfId="1" builtinId="3"/>
    <cellStyle name="Hyperlink" xfId="4" builtinId="8"/>
    <cellStyle name="Normal" xfId="0" builtinId="0"/>
    <cellStyle name="Normal 2" xfId="3" xr:uid="{5077888D-43AD-4F0A-A2AF-E30B08C0C322}"/>
    <cellStyle name="Percent" xfId="2" builtinId="5"/>
  </cellStyles>
  <dxfs count="216">
    <dxf>
      <font>
        <color theme="0"/>
      </font>
      <fill>
        <patternFill patternType="none">
          <bgColor auto="1"/>
        </patternFill>
      </fill>
      <border>
        <left/>
        <right/>
        <top/>
        <bottom/>
        <vertical/>
        <horizontal/>
      </border>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lor theme="0"/>
      </font>
    </dxf>
    <dxf>
      <fill>
        <patternFill>
          <bgColor rgb="FFCCFFCC"/>
        </patternFill>
      </fill>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ndense val="0"/>
        <extend val="0"/>
        <color indexed="9"/>
      </font>
      <fill>
        <patternFill>
          <bgColor indexed="9"/>
        </patternFill>
      </fill>
      <border>
        <left/>
        <right/>
        <top/>
        <bottom/>
      </border>
    </dxf>
    <dxf>
      <font>
        <color theme="0"/>
      </font>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ont>
        <color auto="1"/>
      </font>
      <fill>
        <patternFill>
          <bgColor theme="5" tint="0.59996337778862885"/>
        </patternFill>
      </fill>
    </dxf>
    <dxf>
      <fill>
        <patternFill>
          <bgColor theme="5" tint="0.59996337778862885"/>
        </patternFill>
      </fill>
    </dxf>
    <dxf>
      <numFmt numFmtId="12" formatCode="&quot;$&quot;#,##0.00_);[Red]\(&quot;$&quot;#,##0.00\)"/>
      <fill>
        <patternFill>
          <bgColor theme="5" tint="0.59996337778862885"/>
        </patternFill>
      </fill>
      <border>
        <left style="thin">
          <color auto="1"/>
        </left>
        <right style="thin">
          <color auto="1"/>
        </right>
        <top style="thin">
          <color auto="1"/>
        </top>
        <bottom style="thin">
          <color auto="1"/>
        </bottom>
      </border>
    </dxf>
    <dxf>
      <fill>
        <patternFill>
          <bgColor theme="5" tint="0.59996337778862885"/>
        </patternFill>
      </fill>
    </dxf>
    <dxf>
      <fill>
        <patternFill>
          <bgColor theme="5" tint="0.59996337778862885"/>
        </patternFill>
      </fill>
    </dxf>
    <dxf>
      <font>
        <color theme="0"/>
      </font>
      <fill>
        <patternFill>
          <bgColor theme="0"/>
        </patternFill>
      </fill>
    </dxf>
    <dxf>
      <fill>
        <patternFill>
          <bgColor theme="5" tint="0.59996337778862885"/>
        </patternFill>
      </fill>
    </dxf>
    <dxf>
      <font>
        <color auto="1"/>
      </font>
      <fill>
        <patternFill>
          <bgColor rgb="FFCCFFCC"/>
        </patternFill>
      </fill>
    </dxf>
    <dxf>
      <font>
        <color theme="0"/>
      </font>
      <fill>
        <patternFill>
          <bgColor theme="0"/>
        </patternFill>
      </fill>
    </dxf>
    <dxf>
      <fill>
        <patternFill>
          <bgColor theme="5" tint="0.59996337778862885"/>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4" tint="0.79998168889431442"/>
        </patternFill>
      </fill>
    </dxf>
    <dxf>
      <fill>
        <patternFill>
          <bgColor theme="4" tint="0.79998168889431442"/>
        </patternFill>
      </fill>
    </dxf>
    <dxf>
      <font>
        <color auto="1"/>
      </font>
      <fill>
        <patternFill>
          <bgColor rgb="FFE6B8B7"/>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ont>
        <color auto="1"/>
      </font>
      <fill>
        <patternFill>
          <bgColor rgb="FFE6B8B7"/>
        </patternFill>
      </fill>
    </dxf>
    <dxf>
      <fill>
        <patternFill>
          <bgColor theme="4" tint="0.79998168889431442"/>
        </patternFill>
      </fill>
    </dxf>
    <dxf>
      <fill>
        <patternFill>
          <bgColor theme="4" tint="0.79998168889431442"/>
        </patternFill>
      </fill>
    </dxf>
    <dxf>
      <fill>
        <patternFill>
          <bgColor rgb="FFE6B8B7"/>
        </patternFill>
      </fill>
    </dxf>
    <dxf>
      <fill>
        <patternFill>
          <bgColor theme="4" tint="0.79998168889431442"/>
        </patternFill>
      </fill>
    </dxf>
    <dxf>
      <fill>
        <patternFill>
          <bgColor theme="4" tint="0.79998168889431442"/>
        </patternFill>
      </fill>
    </dxf>
    <dxf>
      <fill>
        <patternFill>
          <bgColor rgb="FFE6B8B7"/>
        </patternFill>
      </fill>
    </dxf>
    <dxf>
      <fill>
        <patternFill>
          <bgColor theme="4" tint="0.79998168889431442"/>
        </patternFill>
      </fill>
    </dxf>
    <dxf>
      <fill>
        <patternFill>
          <bgColor theme="4" tint="0.79998168889431442"/>
        </patternFill>
      </fill>
    </dxf>
    <dxf>
      <font>
        <color theme="0"/>
      </font>
    </dxf>
    <dxf>
      <fill>
        <patternFill>
          <bgColor theme="4" tint="0.79998168889431442"/>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rgb="FFE6B8B7"/>
        </patternFill>
      </fill>
    </dxf>
    <dxf>
      <fill>
        <patternFill>
          <bgColor rgb="FFE6B8B7"/>
        </patternFill>
      </fill>
    </dxf>
    <dxf>
      <fill>
        <patternFill>
          <bgColor rgb="FFE6B8B7"/>
        </patternFill>
      </fill>
    </dxf>
    <dxf>
      <fill>
        <patternFill>
          <bgColor rgb="FFE6B8B7"/>
        </patternFill>
      </fill>
    </dxf>
    <dxf>
      <fill>
        <patternFill>
          <bgColor rgb="FFE6B8B7"/>
        </patternFill>
      </fill>
    </dxf>
    <dxf>
      <font>
        <condense val="0"/>
        <extend val="0"/>
        <color indexed="9"/>
      </font>
      <fill>
        <patternFill>
          <bgColor indexed="9"/>
        </patternFill>
      </fill>
      <border>
        <left/>
        <right/>
        <top/>
        <bottom/>
      </border>
    </dxf>
    <dxf>
      <font>
        <color rgb="FF9C0006"/>
      </font>
      <fill>
        <patternFill>
          <bgColor theme="5" tint="0.59996337778862885"/>
        </patternFill>
      </fill>
    </dxf>
    <dxf>
      <font>
        <color theme="0"/>
      </font>
      <fill>
        <patternFill patternType="none">
          <bgColor auto="1"/>
        </patternFill>
      </fill>
      <border>
        <left/>
        <right/>
        <top style="thin">
          <color auto="1"/>
        </top>
        <bottom style="thin">
          <color auto="1"/>
        </bottom>
        <vertical/>
        <horizontal/>
      </border>
    </dxf>
    <dxf>
      <fill>
        <patternFill>
          <bgColor theme="5" tint="0.59996337778862885"/>
        </patternFill>
      </fill>
    </dxf>
    <dxf>
      <font>
        <condense val="0"/>
        <extend val="0"/>
        <color indexed="42"/>
      </font>
      <fill>
        <patternFill>
          <bgColor indexed="42"/>
        </patternFill>
      </fill>
      <border>
        <left/>
        <right/>
        <top/>
        <bottom/>
      </border>
    </dxf>
    <dxf>
      <font>
        <color rgb="FF9C0006"/>
      </font>
      <fill>
        <patternFill>
          <bgColor rgb="FFFFC7CE"/>
        </patternFill>
      </fill>
    </dxf>
    <dxf>
      <font>
        <color theme="0"/>
      </font>
    </dxf>
    <dxf>
      <font>
        <color theme="0"/>
      </font>
    </dxf>
    <dxf>
      <font>
        <color theme="0"/>
      </font>
      <fill>
        <patternFill>
          <bgColor theme="0"/>
        </patternFill>
      </fill>
      <border>
        <left/>
        <right/>
        <top/>
        <bottom/>
        <vertical/>
        <horizontal/>
      </border>
    </dxf>
    <dxf>
      <font>
        <condense val="0"/>
        <extend val="0"/>
        <color indexed="4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auto="1"/>
      </font>
      <fill>
        <patternFill>
          <bgColor theme="4" tint="0.79998168889431442"/>
        </patternFill>
      </fill>
    </dxf>
    <dxf>
      <font>
        <color rgb="FF9C0006"/>
      </font>
      <fill>
        <patternFill>
          <bgColor rgb="FFFFC7CE"/>
        </patternFill>
      </fill>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lor theme="0"/>
      </font>
      <fill>
        <patternFill patternType="none">
          <bgColor auto="1"/>
        </patternFill>
      </fill>
      <border>
        <left/>
        <right/>
        <top/>
        <bottom/>
        <vertical/>
        <horizontal/>
      </border>
    </dxf>
    <dxf>
      <font>
        <condense val="0"/>
        <extend val="0"/>
        <color indexed="9"/>
      </font>
      <fill>
        <patternFill>
          <bgColor indexed="9"/>
        </patternFill>
      </fill>
      <border>
        <left/>
        <right/>
        <top/>
        <bottom/>
      </border>
    </dxf>
    <dxf>
      <font>
        <condense val="0"/>
        <extend val="0"/>
        <color indexed="9"/>
      </font>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lor theme="0"/>
      </font>
    </dxf>
    <dxf>
      <fill>
        <patternFill>
          <bgColor rgb="FFCCFFCC"/>
        </patternFill>
      </fill>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ndense val="0"/>
        <extend val="0"/>
        <color indexed="9"/>
      </font>
      <fill>
        <patternFill>
          <bgColor indexed="9"/>
        </patternFill>
      </fill>
      <border>
        <left/>
        <right/>
        <top/>
        <bottom/>
      </border>
    </dxf>
    <dxf>
      <font>
        <b/>
        <i val="0"/>
        <condense val="0"/>
        <extend val="0"/>
        <color auto="1"/>
      </font>
      <fill>
        <patternFill>
          <bgColor theme="5" tint="0.59996337778862885"/>
        </patternFill>
      </fill>
    </dxf>
    <dxf>
      <fill>
        <patternFill>
          <bgColor theme="5" tint="0.59996337778862885"/>
        </patternFill>
      </fill>
      <border>
        <left style="thin">
          <color auto="1"/>
        </left>
        <right style="thin">
          <color auto="1"/>
        </right>
        <top style="thin">
          <color auto="1"/>
        </top>
        <bottom style="thin">
          <color auto="1"/>
        </bottom>
      </border>
    </dxf>
    <dxf>
      <fill>
        <patternFill>
          <bgColor theme="4" tint="0.79998168889431442"/>
        </patternFill>
      </fill>
      <border>
        <left style="thin">
          <color auto="1"/>
        </left>
        <right style="thin">
          <color auto="1"/>
        </right>
        <top style="thin">
          <color auto="1"/>
        </top>
        <bottom style="thin">
          <color auto="1"/>
        </bottom>
        <vertical/>
        <horizontal/>
      </border>
    </dxf>
    <dxf>
      <fill>
        <patternFill>
          <bgColor theme="5" tint="0.59996337778862885"/>
        </patternFill>
      </fill>
      <border>
        <left style="thin">
          <color auto="1"/>
        </left>
        <right style="thin">
          <color auto="1"/>
        </right>
        <top style="thin">
          <color auto="1"/>
        </top>
        <bottom style="thin">
          <color auto="1"/>
        </bottom>
      </border>
    </dxf>
    <dxf>
      <fill>
        <patternFill>
          <bgColor theme="4" tint="0.79998168889431442"/>
        </patternFill>
      </fill>
      <border>
        <left style="thin">
          <color auto="1"/>
        </left>
        <right style="thin">
          <color auto="1"/>
        </right>
        <top style="thin">
          <color auto="1"/>
        </top>
        <bottom style="thin">
          <color auto="1"/>
        </bottom>
        <vertical/>
        <horizontal/>
      </border>
    </dxf>
    <dxf>
      <font>
        <color theme="0"/>
      </font>
      <fill>
        <patternFill>
          <bgColor theme="0"/>
        </patternFill>
      </fill>
    </dxf>
    <dxf>
      <fill>
        <patternFill>
          <bgColor theme="1"/>
        </patternFill>
      </fill>
    </dxf>
    <dxf>
      <fill>
        <patternFill>
          <bgColor theme="1"/>
        </patternFill>
      </fill>
    </dxf>
    <dxf>
      <font>
        <color theme="0"/>
      </font>
    </dxf>
    <dxf>
      <font>
        <b/>
        <i val="0"/>
        <condense val="0"/>
        <extend val="0"/>
        <color auto="1"/>
      </font>
      <fill>
        <patternFill>
          <bgColor theme="5" tint="0.59996337778862885"/>
        </patternFill>
      </fill>
    </dxf>
    <dxf>
      <font>
        <color theme="0"/>
      </font>
    </dxf>
    <dxf>
      <font>
        <color theme="0"/>
      </font>
      <fill>
        <patternFill>
          <bgColor theme="0"/>
        </patternFill>
      </fill>
      <border>
        <left/>
        <right/>
        <top/>
        <bottom style="thin">
          <color auto="1"/>
        </bottom>
        <vertical/>
        <horizontal/>
      </border>
    </dxf>
    <dxf>
      <fill>
        <patternFill>
          <bgColor theme="5" tint="0.59996337778862885"/>
        </patternFill>
      </fill>
    </dxf>
    <dxf>
      <font>
        <color theme="0"/>
      </font>
      <fill>
        <patternFill>
          <bgColor theme="0"/>
        </patternFill>
      </fill>
      <border>
        <left/>
        <right/>
        <top/>
        <bottom/>
        <vertical/>
        <horizontal/>
      </border>
    </dxf>
    <dxf>
      <fill>
        <patternFill>
          <bgColor theme="5" tint="0.59996337778862885"/>
        </patternFill>
      </fill>
    </dxf>
    <dxf>
      <font>
        <color theme="0"/>
      </font>
    </dxf>
    <dxf>
      <font>
        <color theme="0"/>
      </font>
      <fill>
        <patternFill>
          <bgColor theme="0"/>
        </patternFill>
      </fill>
      <border>
        <left style="thin">
          <color auto="1"/>
        </left>
        <right/>
        <top/>
        <bottom/>
        <vertical/>
        <horizontal/>
      </border>
    </dxf>
    <dxf>
      <font>
        <color theme="0"/>
      </font>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1"/>
        </patternFill>
      </fill>
    </dxf>
    <dxf>
      <font>
        <color theme="0"/>
      </font>
      <fill>
        <patternFill patternType="none">
          <bgColor auto="1"/>
        </patternFill>
      </fill>
      <border>
        <left/>
        <right/>
        <top/>
        <bottom/>
        <vertical/>
        <horizontal/>
      </border>
    </dxf>
    <dxf>
      <font>
        <condense val="0"/>
        <extend val="0"/>
        <color indexed="9"/>
      </font>
      <fill>
        <patternFill>
          <bgColor indexed="9"/>
        </patternFill>
      </fill>
      <border>
        <left/>
        <right/>
        <top/>
        <bottom/>
      </border>
    </dxf>
    <dxf>
      <font>
        <condense val="0"/>
        <extend val="0"/>
        <color indexed="9"/>
      </font>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dxf>
    <dxf>
      <fill>
        <patternFill patternType="solid">
          <bgColor theme="0"/>
        </patternFill>
      </fill>
      <border>
        <left/>
        <right/>
        <top/>
        <bottom/>
      </border>
    </dxf>
    <dxf>
      <fill>
        <patternFill patternType="solid">
          <bgColor theme="0"/>
        </patternFill>
      </fill>
      <border>
        <left/>
        <right/>
        <top/>
        <bottom/>
      </border>
    </dxf>
    <dxf>
      <fill>
        <patternFill patternType="solid">
          <bgColor theme="0"/>
        </patternFill>
      </fill>
      <border>
        <left/>
        <right/>
        <top/>
        <bottom/>
      </border>
    </dxf>
    <dxf>
      <fill>
        <patternFill patternType="solid">
          <bgColor theme="0"/>
        </patternFill>
      </fill>
      <border>
        <left/>
        <right/>
        <top/>
        <bottom/>
      </border>
    </dxf>
    <dxf>
      <fill>
        <patternFill patternType="solid">
          <bgColor theme="0"/>
        </patternFill>
      </fill>
      <border>
        <left/>
        <right/>
        <top/>
        <bottom/>
      </border>
    </dxf>
    <dxf>
      <fill>
        <patternFill>
          <bgColor theme="0"/>
        </patternFill>
      </fill>
      <border>
        <left/>
        <right/>
        <top/>
        <bottom/>
      </border>
    </dxf>
    <dxf>
      <font>
        <color theme="0"/>
      </font>
      <border>
        <left style="thin">
          <color auto="1"/>
        </left>
        <right/>
        <top/>
        <bottom/>
        <vertical/>
        <horizontal/>
      </border>
    </dxf>
    <dxf>
      <font>
        <color theme="0"/>
      </font>
    </dxf>
    <dxf>
      <font>
        <color theme="0"/>
      </font>
      <fill>
        <patternFill>
          <bgColor theme="0"/>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bgColor theme="0"/>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dxf>
    <dxf>
      <font>
        <color theme="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DCE6F1"/>
      <color rgb="FF9C0006"/>
      <color rgb="FFFFC7CE"/>
      <color rgb="FFE6B8B7"/>
      <color rgb="FFC00000"/>
      <color rgb="FFFFFFFF"/>
      <color rgb="FFCCFFCC"/>
      <color rgb="FFFFFFCC"/>
      <color rgb="FFFFFF99"/>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cid:image001.gif@01CC8829.1FDF8240" TargetMode="Externa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219075</xdr:colOff>
      <xdr:row>1</xdr:row>
      <xdr:rowOff>118110</xdr:rowOff>
    </xdr:from>
    <xdr:to>
      <xdr:col>8</xdr:col>
      <xdr:colOff>104775</xdr:colOff>
      <xdr:row>27</xdr:row>
      <xdr:rowOff>66711</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219075" y="285750"/>
          <a:ext cx="4762500" cy="4152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mn-lt"/>
              <a:ea typeface="+mn-ea"/>
              <a:cs typeface="+mn-cs"/>
            </a:rPr>
            <a:t>Important Disclaimer</a:t>
          </a:r>
        </a:p>
        <a:p>
          <a:r>
            <a:rPr lang="en-US" sz="1100">
              <a:solidFill>
                <a:schemeClr val="dk1"/>
              </a:solidFill>
              <a:effectLst/>
              <a:latin typeface="+mn-lt"/>
              <a:ea typeface="+mn-ea"/>
              <a:cs typeface="+mn-cs"/>
            </a:rPr>
            <a:t> </a:t>
          </a:r>
        </a:p>
        <a:p>
          <a:r>
            <a:rPr lang="en-US" sz="1100">
              <a:solidFill>
                <a:schemeClr val="dk1"/>
              </a:solidFill>
              <a:effectLst/>
              <a:latin typeface="+mn-lt"/>
              <a:ea typeface="+mn-ea"/>
              <a:cs typeface="+mn-cs"/>
            </a:rPr>
            <a:t>This Levy Calculation Form is a worksheet that allows the municipality to calculate and analyze the available levy and extension amounts and is prepared for informational purposes only. Reasonable efforts and generally accepted methods of calculation have been incorporated into the spreadsheets. However, PMA Securties (PMA) takes no responsibility for the accuracy of the output and it is highly recommended that users verify calculations independently. The data input, projections, and assumptions provided in this form are based on the information provided by the municipality. PMA will not verify the accuracy of the data provided by the municipality and is not responsible for any inaccuracies or incompleteness that appears in the data provided in this form.</a:t>
          </a:r>
        </a:p>
        <a:p>
          <a:r>
            <a:rPr lang="en-US" sz="1100">
              <a:solidFill>
                <a:schemeClr val="dk1"/>
              </a:solidFill>
              <a:effectLst/>
              <a:latin typeface="+mn-lt"/>
              <a:ea typeface="+mn-ea"/>
              <a:cs typeface="+mn-cs"/>
            </a:rPr>
            <a:t> </a:t>
          </a:r>
        </a:p>
        <a:p>
          <a:r>
            <a:rPr lang="en-US" sz="1100">
              <a:solidFill>
                <a:schemeClr val="dk1"/>
              </a:solidFill>
              <a:effectLst/>
              <a:latin typeface="+mn-lt"/>
              <a:ea typeface="+mn-ea"/>
              <a:cs typeface="+mn-cs"/>
            </a:rPr>
            <a:t> </a:t>
          </a:r>
        </a:p>
        <a:p>
          <a:endParaRPr lang="en-US"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107950</xdr:colOff>
          <xdr:row>2</xdr:row>
          <xdr:rowOff>19050</xdr:rowOff>
        </xdr:from>
        <xdr:to>
          <xdr:col>11</xdr:col>
          <xdr:colOff>514350</xdr:colOff>
          <xdr:row>62</xdr:row>
          <xdr:rowOff>76200</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64</xdr:row>
          <xdr:rowOff>133350</xdr:rowOff>
        </xdr:from>
        <xdr:to>
          <xdr:col>11</xdr:col>
          <xdr:colOff>495300</xdr:colOff>
          <xdr:row>1048575</xdr:row>
          <xdr:rowOff>133350</xdr:rowOff>
        </xdr:to>
        <xdr:sp macro="" textlink="">
          <xdr:nvSpPr>
            <xdr:cNvPr id="3074" name="Object 2"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2</xdr:col>
      <xdr:colOff>238125</xdr:colOff>
      <xdr:row>20</xdr:row>
      <xdr:rowOff>95250</xdr:rowOff>
    </xdr:from>
    <xdr:to>
      <xdr:col>10</xdr:col>
      <xdr:colOff>85725</xdr:colOff>
      <xdr:row>42</xdr:row>
      <xdr:rowOff>38100</xdr:rowOff>
    </xdr:to>
    <xdr:pic>
      <xdr:nvPicPr>
        <xdr:cNvPr id="5381" name="Picture 2">
          <a:extLst>
            <a:ext uri="{FF2B5EF4-FFF2-40B4-BE49-F238E27FC236}">
              <a16:creationId xmlns:a16="http://schemas.microsoft.com/office/drawing/2014/main" id="{00000000-0008-0000-0400-00000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7325" y="3990975"/>
          <a:ext cx="4724400" cy="3705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285750</xdr:colOff>
      <xdr:row>46</xdr:row>
      <xdr:rowOff>85725</xdr:rowOff>
    </xdr:from>
    <xdr:to>
      <xdr:col>10</xdr:col>
      <xdr:colOff>228600</xdr:colOff>
      <xdr:row>70</xdr:row>
      <xdr:rowOff>47625</xdr:rowOff>
    </xdr:to>
    <xdr:pic>
      <xdr:nvPicPr>
        <xdr:cNvPr id="5382" name="Picture 3">
          <a:extLst>
            <a:ext uri="{FF2B5EF4-FFF2-40B4-BE49-F238E27FC236}">
              <a16:creationId xmlns:a16="http://schemas.microsoft.com/office/drawing/2014/main" id="{00000000-0008-0000-0400-0000061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04950" y="8429625"/>
          <a:ext cx="4819650" cy="384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304800</xdr:colOff>
      <xdr:row>70</xdr:row>
      <xdr:rowOff>152400</xdr:rowOff>
    </xdr:from>
    <xdr:to>
      <xdr:col>10</xdr:col>
      <xdr:colOff>247650</xdr:colOff>
      <xdr:row>92</xdr:row>
      <xdr:rowOff>9525</xdr:rowOff>
    </xdr:to>
    <xdr:pic>
      <xdr:nvPicPr>
        <xdr:cNvPr id="5383" name="Picture 4">
          <a:extLst>
            <a:ext uri="{FF2B5EF4-FFF2-40B4-BE49-F238E27FC236}">
              <a16:creationId xmlns:a16="http://schemas.microsoft.com/office/drawing/2014/main" id="{00000000-0008-0000-0400-0000071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524000" y="12382500"/>
          <a:ext cx="4819650" cy="3419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561975</xdr:colOff>
      <xdr:row>3</xdr:row>
      <xdr:rowOff>209550</xdr:rowOff>
    </xdr:from>
    <xdr:to>
      <xdr:col>7</xdr:col>
      <xdr:colOff>200025</xdr:colOff>
      <xdr:row>4</xdr:row>
      <xdr:rowOff>209550</xdr:rowOff>
    </xdr:to>
    <xdr:pic>
      <xdr:nvPicPr>
        <xdr:cNvPr id="5384" name="Picture 5" descr="Button image">
          <a:extLst>
            <a:ext uri="{FF2B5EF4-FFF2-40B4-BE49-F238E27FC236}">
              <a16:creationId xmlns:a16="http://schemas.microsoft.com/office/drawing/2014/main" id="{00000000-0008-0000-0400-000008150000}"/>
            </a:ext>
          </a:extLst>
        </xdr:cNvPr>
        <xdr:cNvPicPr>
          <a:picLocks noChangeAspect="1" noChangeArrowheads="1"/>
        </xdr:cNvPicPr>
      </xdr:nvPicPr>
      <xdr:blipFill>
        <a:blip xmlns:r="http://schemas.openxmlformats.org/officeDocument/2006/relationships" r:link="rId4">
          <a:extLst>
            <a:ext uri="{28A0092B-C50C-407E-A947-70E740481C1C}">
              <a14:useLocalDpi xmlns:a14="http://schemas.microsoft.com/office/drawing/2010/main" val="0"/>
            </a:ext>
          </a:extLst>
        </a:blip>
        <a:srcRect/>
        <a:stretch>
          <a:fillRect/>
        </a:stretch>
      </xdr:blipFill>
      <xdr:spPr bwMode="auto">
        <a:xfrm>
          <a:off x="4219575" y="695325"/>
          <a:ext cx="24765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91440</xdr:colOff>
      <xdr:row>16</xdr:row>
      <xdr:rowOff>112395</xdr:rowOff>
    </xdr:from>
    <xdr:to>
      <xdr:col>3</xdr:col>
      <xdr:colOff>598170</xdr:colOff>
      <xdr:row>18</xdr:row>
      <xdr:rowOff>15240</xdr:rowOff>
    </xdr:to>
    <xdr:cxnSp macro="">
      <xdr:nvCxnSpPr>
        <xdr:cNvPr id="2" name="Straight Arrow Connector 1">
          <a:extLst>
            <a:ext uri="{FF2B5EF4-FFF2-40B4-BE49-F238E27FC236}">
              <a16:creationId xmlns:a16="http://schemas.microsoft.com/office/drawing/2014/main" id="{00000000-0008-0000-0500-000002000000}"/>
            </a:ext>
          </a:extLst>
        </xdr:cNvPr>
        <xdr:cNvCxnSpPr/>
      </xdr:nvCxnSpPr>
      <xdr:spPr>
        <a:xfrm flipH="1">
          <a:off x="4191000" y="3076575"/>
          <a:ext cx="1116330" cy="2990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190500</xdr:colOff>
      <xdr:row>15</xdr:row>
      <xdr:rowOff>186690</xdr:rowOff>
    </xdr:from>
    <xdr:to>
      <xdr:col>3</xdr:col>
      <xdr:colOff>571500</xdr:colOff>
      <xdr:row>16</xdr:row>
      <xdr:rowOff>142875</xdr:rowOff>
    </xdr:to>
    <xdr:cxnSp macro="">
      <xdr:nvCxnSpPr>
        <xdr:cNvPr id="2" name="Straight Arrow Connector 1">
          <a:extLst>
            <a:ext uri="{FF2B5EF4-FFF2-40B4-BE49-F238E27FC236}">
              <a16:creationId xmlns:a16="http://schemas.microsoft.com/office/drawing/2014/main" id="{00000000-0008-0000-0700-000002000000}"/>
            </a:ext>
          </a:extLst>
        </xdr:cNvPr>
        <xdr:cNvCxnSpPr/>
      </xdr:nvCxnSpPr>
      <xdr:spPr>
        <a:xfrm flipH="1">
          <a:off x="4286250" y="2977515"/>
          <a:ext cx="990600" cy="15621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package" Target="../embeddings/Microsoft_Word_Document.docx"/><Relationship Id="rId5" Type="http://schemas.openxmlformats.org/officeDocument/2006/relationships/image" Target="../media/image1.emf"/><Relationship Id="rId4" Type="http://schemas.openxmlformats.org/officeDocument/2006/relationships/oleObject" Target="../embeddings/Microsoft_Word_97_-_2003_Document.doc"/></Relationships>
</file>

<file path=xl/worksheets/_rels/sheet3.xml.rels><?xml version="1.0" encoding="UTF-8" standalone="yes"?>
<Relationships xmlns="http://schemas.openxmlformats.org/package/2006/relationships"><Relationship Id="rId3" Type="http://schemas.openxmlformats.org/officeDocument/2006/relationships/hyperlink" Target="mailto:steve.adams@ptma.com" TargetMode="External"/><Relationship Id="rId2" Type="http://schemas.openxmlformats.org/officeDocument/2006/relationships/hyperlink" Target="mailto:rlewis@pmanetwork.com" TargetMode="External"/><Relationship Id="rId1" Type="http://schemas.openxmlformats.org/officeDocument/2006/relationships/hyperlink" Target="mailto:andrew.kim@ptma.com" TargetMode="External"/><Relationship Id="rId4"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0">
    <tabColor rgb="FFFFFF99"/>
  </sheetPr>
  <dimension ref="A1"/>
  <sheetViews>
    <sheetView workbookViewId="0">
      <selection activeCell="J10" sqref="J10"/>
    </sheetView>
  </sheetViews>
  <sheetFormatPr defaultRowHeight="12.5" x14ac:dyDescent="0.25"/>
  <sheetData/>
  <sheetProtection algorithmName="SHA-512" hashValue="W+F8XBrgvnlSz0E3/ZIy40Rk8oQU3di2rmBk8t9uZkR9reW5wZiTeGnCb9UZKo8Q2OnJGKn4UOuHaQ1aI6I6/g==" saltValue="lXiM98aUDVICrzt080Cx5g==" spinCount="100000"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tabColor rgb="FFFFFF99"/>
  </sheetPr>
  <dimension ref="A1:M103"/>
  <sheetViews>
    <sheetView showGridLines="0" zoomScaleNormal="100" workbookViewId="0">
      <selection activeCell="K1" sqref="K1"/>
    </sheetView>
  </sheetViews>
  <sheetFormatPr defaultColWidth="0" defaultRowHeight="12.5" zeroHeight="1" x14ac:dyDescent="0.25"/>
  <cols>
    <col min="1" max="12" width="9.1796875" customWidth="1"/>
    <col min="13" max="13" width="2.26953125" customWidth="1"/>
    <col min="14" max="16384" width="9.1796875" hidden="1"/>
  </cols>
  <sheetData>
    <row r="1" spans="1:3" ht="13" x14ac:dyDescent="0.3">
      <c r="A1" s="1" t="s">
        <v>26</v>
      </c>
      <c r="B1" s="48"/>
      <c r="C1" s="1"/>
    </row>
    <row r="2" spans="1:3" ht="13" x14ac:dyDescent="0.3">
      <c r="A2" s="1"/>
      <c r="B2" s="48"/>
      <c r="C2" s="1"/>
    </row>
    <row r="3" spans="1:3" x14ac:dyDescent="0.25"/>
    <row r="4" spans="1:3" x14ac:dyDescent="0.25"/>
    <row r="5" spans="1:3" x14ac:dyDescent="0.25"/>
    <row r="6" spans="1:3" x14ac:dyDescent="0.25"/>
    <row r="7" spans="1:3" x14ac:dyDescent="0.25"/>
    <row r="8" spans="1:3" x14ac:dyDescent="0.25"/>
    <row r="9" spans="1:3" x14ac:dyDescent="0.25"/>
    <row r="10" spans="1:3" x14ac:dyDescent="0.25"/>
    <row r="11" spans="1:3" x14ac:dyDescent="0.25"/>
    <row r="12" spans="1:3" x14ac:dyDescent="0.25"/>
    <row r="13" spans="1:3" x14ac:dyDescent="0.25"/>
    <row r="14" spans="1:3" x14ac:dyDescent="0.25"/>
    <row r="15" spans="1:3" x14ac:dyDescent="0.25"/>
    <row r="16" spans="1:3" x14ac:dyDescent="0.25"/>
    <row r="17"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x14ac:dyDescent="0.25"/>
    <row r="34" x14ac:dyDescent="0.25"/>
    <row r="35" x14ac:dyDescent="0.25"/>
    <row r="36" x14ac:dyDescent="0.25"/>
    <row r="37" x14ac:dyDescent="0.25"/>
    <row r="38" x14ac:dyDescent="0.25"/>
    <row r="39" x14ac:dyDescent="0.25"/>
    <row r="40" x14ac:dyDescent="0.25"/>
    <row r="41" x14ac:dyDescent="0.25"/>
    <row r="42" x14ac:dyDescent="0.25"/>
    <row r="43" x14ac:dyDescent="0.25"/>
    <row r="44" x14ac:dyDescent="0.25"/>
    <row r="45" x14ac:dyDescent="0.25"/>
    <row r="46" x14ac:dyDescent="0.25"/>
    <row r="47" x14ac:dyDescent="0.25"/>
    <row r="48" x14ac:dyDescent="0.25"/>
    <row r="49"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row r="62" x14ac:dyDescent="0.25"/>
    <row r="63" x14ac:dyDescent="0.25"/>
    <row r="64"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sheetData>
  <sheetProtection algorithmName="SHA-512" hashValue="p54pbCOBSDL3lZjdc7o/fBueMJT/Fu03t5/GW9eQrCbmebAsw4m2MS3FnUV360mBMhwCzueLqClXpLt/8vkgpA==" saltValue="61cOgyiy00RBWObwoMCODQ==" spinCount="100000" sheet="1" objects="1" scenarios="1"/>
  <phoneticPr fontId="3" type="noConversion"/>
  <pageMargins left="0.5" right="0.5" top="0.5" bottom="0.5" header="0.5" footer="0.5"/>
  <pageSetup orientation="portrait" r:id="rId1"/>
  <headerFooter alignWithMargins="0"/>
  <drawing r:id="rId2"/>
  <legacyDrawing r:id="rId3"/>
  <oleObjects>
    <mc:AlternateContent xmlns:mc="http://schemas.openxmlformats.org/markup-compatibility/2006">
      <mc:Choice Requires="x14">
        <oleObject progId="Word.Document.8" shapeId="3073" r:id="rId4">
          <objectPr defaultSize="0" autoPict="0" r:id="rId5">
            <anchor moveWithCells="1">
              <from>
                <xdr:col>0</xdr:col>
                <xdr:colOff>107950</xdr:colOff>
                <xdr:row>2</xdr:row>
                <xdr:rowOff>19050</xdr:rowOff>
              </from>
              <to>
                <xdr:col>11</xdr:col>
                <xdr:colOff>514350</xdr:colOff>
                <xdr:row>62</xdr:row>
                <xdr:rowOff>76200</xdr:rowOff>
              </to>
            </anchor>
          </objectPr>
        </oleObject>
      </mc:Choice>
      <mc:Fallback>
        <oleObject progId="Word.Document.8" shapeId="3073" r:id="rId4"/>
      </mc:Fallback>
    </mc:AlternateContent>
    <mc:AlternateContent xmlns:mc="http://schemas.openxmlformats.org/markup-compatibility/2006">
      <mc:Choice Requires="x14">
        <oleObject progId="Word.Document.12" shapeId="3074" r:id="rId6">
          <objectPr defaultSize="0" autoPict="0" r:id="rId7">
            <anchor moveWithCells="1">
              <from>
                <xdr:col>0</xdr:col>
                <xdr:colOff>0</xdr:colOff>
                <xdr:row>64</xdr:row>
                <xdr:rowOff>133350</xdr:rowOff>
              </from>
              <to>
                <xdr:col>11</xdr:col>
                <xdr:colOff>495300</xdr:colOff>
                <xdr:row>1048575</xdr:row>
                <xdr:rowOff>133350</xdr:rowOff>
              </to>
            </anchor>
          </objectPr>
        </oleObject>
      </mc:Choice>
      <mc:Fallback>
        <oleObject progId="Word.Document.12" shapeId="3074" r:id="rId6"/>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92D050"/>
    <pageSetUpPr fitToPage="1"/>
  </sheetPr>
  <dimension ref="A1:AB86"/>
  <sheetViews>
    <sheetView showGridLines="0" tabSelected="1" zoomScaleNormal="100" workbookViewId="0">
      <selection activeCell="C19" sqref="C19"/>
    </sheetView>
  </sheetViews>
  <sheetFormatPr defaultColWidth="0" defaultRowHeight="13" zeroHeight="1" x14ac:dyDescent="0.3"/>
  <cols>
    <col min="1" max="1" width="19.453125" style="1" customWidth="1"/>
    <col min="2" max="2" width="28.453125" style="13" customWidth="1"/>
    <col min="3" max="3" width="16.1796875" style="1" customWidth="1"/>
    <col min="4" max="4" width="18.26953125" style="1" customWidth="1"/>
    <col min="5" max="6" width="14.453125" style="14" customWidth="1"/>
    <col min="7" max="8" width="14.453125" style="1" customWidth="1"/>
    <col min="9" max="27" width="9.1796875" style="1" hidden="1" customWidth="1"/>
    <col min="28" max="28" width="9.1796875" style="12" hidden="1" customWidth="1"/>
    <col min="29" max="16384" width="9.1796875" style="1" hidden="1"/>
  </cols>
  <sheetData>
    <row r="1" spans="1:28" x14ac:dyDescent="0.3">
      <c r="A1" s="1" t="s">
        <v>92</v>
      </c>
      <c r="B1" s="48"/>
      <c r="E1" s="1"/>
      <c r="F1" s="1"/>
    </row>
    <row r="2" spans="1:28" x14ac:dyDescent="0.3">
      <c r="A2" s="1" t="s">
        <v>136</v>
      </c>
      <c r="B2" s="48"/>
      <c r="E2" s="1"/>
      <c r="F2" s="1"/>
    </row>
    <row r="3" spans="1:28" x14ac:dyDescent="0.3">
      <c r="A3" s="48" t="s">
        <v>133</v>
      </c>
      <c r="B3" s="199" t="s">
        <v>182</v>
      </c>
      <c r="C3" s="200"/>
      <c r="E3" s="1"/>
      <c r="F3" s="1"/>
    </row>
    <row r="4" spans="1:28" x14ac:dyDescent="0.3">
      <c r="A4" s="48" t="s">
        <v>134</v>
      </c>
      <c r="B4" s="199" t="s">
        <v>183</v>
      </c>
      <c r="C4" s="200"/>
      <c r="E4" s="1"/>
      <c r="F4" s="1"/>
    </row>
    <row r="5" spans="1:28" hidden="1" x14ac:dyDescent="0.3">
      <c r="A5" s="48" t="s">
        <v>135</v>
      </c>
      <c r="B5" s="199" t="s">
        <v>132</v>
      </c>
      <c r="C5" s="200"/>
      <c r="E5" s="1"/>
      <c r="F5" s="1"/>
    </row>
    <row r="6" spans="1:28" x14ac:dyDescent="0.3">
      <c r="A6" s="1" t="s">
        <v>27</v>
      </c>
      <c r="B6" s="48"/>
      <c r="E6" s="1"/>
      <c r="F6" s="1"/>
    </row>
    <row r="7" spans="1:28" s="14" customFormat="1" ht="18" thickBot="1" x14ac:dyDescent="0.4">
      <c r="A7" s="72" t="s">
        <v>2</v>
      </c>
      <c r="B7" s="73"/>
      <c r="C7" s="72"/>
      <c r="D7" s="73"/>
      <c r="E7" s="73"/>
      <c r="F7" s="86" t="s">
        <v>31</v>
      </c>
      <c r="G7" s="73"/>
      <c r="H7" s="73"/>
      <c r="AB7" s="15" t="s">
        <v>8</v>
      </c>
    </row>
    <row r="8" spans="1:28" s="14" customFormat="1" ht="15.75" customHeight="1" x14ac:dyDescent="0.3">
      <c r="A8" s="73"/>
      <c r="B8" s="74"/>
      <c r="C8" s="73"/>
      <c r="D8" s="73"/>
      <c r="E8" s="85"/>
      <c r="F8" s="102" t="s">
        <v>155</v>
      </c>
      <c r="G8" s="84"/>
      <c r="H8" s="73"/>
      <c r="AB8" s="15" t="s">
        <v>9</v>
      </c>
    </row>
    <row r="9" spans="1:28" ht="15" x14ac:dyDescent="0.3">
      <c r="A9" s="75"/>
      <c r="B9" s="75" t="s">
        <v>47</v>
      </c>
      <c r="C9" s="205">
        <v>2025</v>
      </c>
      <c r="D9" s="76"/>
      <c r="E9" s="70"/>
      <c r="F9" s="100" t="s">
        <v>30</v>
      </c>
      <c r="G9" s="71"/>
      <c r="H9" s="73"/>
    </row>
    <row r="10" spans="1:28" s="14" customFormat="1" ht="15.75" customHeight="1" thickBot="1" x14ac:dyDescent="0.35">
      <c r="A10" s="74"/>
      <c r="B10" s="74"/>
      <c r="C10" s="73"/>
      <c r="D10" s="73"/>
      <c r="E10" s="93"/>
      <c r="F10" s="101" t="s">
        <v>34</v>
      </c>
      <c r="G10" s="94"/>
      <c r="H10" s="73"/>
      <c r="AB10" s="15"/>
    </row>
    <row r="11" spans="1:28" ht="15" x14ac:dyDescent="0.3">
      <c r="A11" s="75"/>
      <c r="B11" s="75" t="s">
        <v>153</v>
      </c>
      <c r="C11" s="67"/>
      <c r="D11" s="76" t="s">
        <v>154</v>
      </c>
      <c r="E11" s="73"/>
      <c r="F11" s="73"/>
      <c r="G11" s="73"/>
      <c r="H11" s="73"/>
    </row>
    <row r="12" spans="1:28" ht="15" hidden="1" x14ac:dyDescent="0.3">
      <c r="A12" s="75"/>
      <c r="B12" s="75" t="s">
        <v>37</v>
      </c>
      <c r="C12" s="67"/>
      <c r="D12" s="76" t="s">
        <v>58</v>
      </c>
      <c r="E12" s="73"/>
      <c r="F12" s="73"/>
      <c r="G12" s="73"/>
      <c r="H12" s="73"/>
    </row>
    <row r="13" spans="1:28" ht="15" x14ac:dyDescent="0.3">
      <c r="A13" s="75"/>
      <c r="B13" s="75" t="s">
        <v>56</v>
      </c>
      <c r="C13" s="67"/>
      <c r="D13" s="76" t="s">
        <v>75</v>
      </c>
      <c r="E13" s="73"/>
      <c r="F13" s="73"/>
      <c r="G13" s="73"/>
      <c r="H13" s="73"/>
    </row>
    <row r="14" spans="1:28" ht="15" x14ac:dyDescent="0.3">
      <c r="A14" s="75"/>
      <c r="B14" s="75" t="s">
        <v>38</v>
      </c>
      <c r="C14" s="67"/>
      <c r="D14" s="76" t="s">
        <v>72</v>
      </c>
      <c r="E14" s="73"/>
      <c r="F14" s="73"/>
      <c r="G14" s="73"/>
      <c r="H14" s="73"/>
    </row>
    <row r="15" spans="1:28" ht="15" x14ac:dyDescent="0.3">
      <c r="A15" s="75"/>
      <c r="B15" s="75" t="s">
        <v>39</v>
      </c>
      <c r="C15" s="67"/>
      <c r="D15" s="76" t="s">
        <v>74</v>
      </c>
      <c r="E15" s="73"/>
      <c r="F15" s="73"/>
      <c r="G15" s="73"/>
      <c r="H15" s="73"/>
    </row>
    <row r="16" spans="1:28" ht="15" x14ac:dyDescent="0.3">
      <c r="A16" s="75"/>
      <c r="B16" s="75" t="s">
        <v>40</v>
      </c>
      <c r="C16" s="67"/>
      <c r="D16" s="76" t="s">
        <v>73</v>
      </c>
      <c r="E16" s="73"/>
      <c r="F16" s="73"/>
      <c r="G16" s="73"/>
      <c r="H16" s="73"/>
    </row>
    <row r="17" spans="1:28" s="14" customFormat="1" x14ac:dyDescent="0.3">
      <c r="A17" s="74"/>
      <c r="B17" s="74"/>
      <c r="C17" s="76" t="s">
        <v>3</v>
      </c>
      <c r="D17" s="73"/>
      <c r="E17" s="73"/>
      <c r="F17" s="73"/>
      <c r="G17" s="73"/>
      <c r="H17" s="73"/>
      <c r="AB17" s="15"/>
    </row>
    <row r="18" spans="1:28" s="14" customFormat="1" ht="13.5" thickBot="1" x14ac:dyDescent="0.35">
      <c r="A18" s="74"/>
      <c r="B18" s="74"/>
      <c r="C18" s="73"/>
      <c r="D18" s="73"/>
      <c r="E18" s="73"/>
      <c r="F18" s="73"/>
      <c r="G18" s="73"/>
      <c r="H18" s="73"/>
      <c r="AB18" s="15"/>
    </row>
    <row r="19" spans="1:28" ht="15.75" customHeight="1" x14ac:dyDescent="0.3">
      <c r="A19" s="77"/>
      <c r="B19" s="75" t="s">
        <v>41</v>
      </c>
      <c r="C19" s="103" t="s">
        <v>8</v>
      </c>
      <c r="D19" s="76" t="s">
        <v>59</v>
      </c>
      <c r="E19" s="254" t="s">
        <v>101</v>
      </c>
      <c r="F19" s="255"/>
      <c r="G19" s="256"/>
      <c r="H19" s="73"/>
    </row>
    <row r="20" spans="1:28" ht="7.9" customHeight="1" x14ac:dyDescent="0.3">
      <c r="A20" s="77"/>
      <c r="B20" s="75"/>
      <c r="C20" s="77"/>
      <c r="D20" s="77"/>
      <c r="E20" s="257"/>
      <c r="F20" s="258"/>
      <c r="G20" s="259"/>
      <c r="H20" s="73"/>
    </row>
    <row r="21" spans="1:28" s="14" customFormat="1" ht="15.5" thickBot="1" x14ac:dyDescent="0.35">
      <c r="A21" s="74"/>
      <c r="B21" s="75" t="s">
        <v>57</v>
      </c>
      <c r="C21" s="103" t="s">
        <v>9</v>
      </c>
      <c r="D21" s="76" t="s">
        <v>59</v>
      </c>
      <c r="E21" s="260"/>
      <c r="F21" s="261"/>
      <c r="G21" s="262"/>
      <c r="H21" s="73"/>
      <c r="AB21" s="15"/>
    </row>
    <row r="22" spans="1:28" s="14" customFormat="1" x14ac:dyDescent="0.3">
      <c r="A22" s="74"/>
      <c r="B22" s="74"/>
      <c r="C22" s="73"/>
      <c r="D22" s="73"/>
      <c r="E22" s="73"/>
      <c r="F22" s="73"/>
      <c r="G22" s="73"/>
      <c r="H22" s="73"/>
      <c r="AB22" s="15"/>
    </row>
    <row r="23" spans="1:28" ht="15" hidden="1" x14ac:dyDescent="0.3">
      <c r="A23" s="75"/>
      <c r="B23" s="75" t="s">
        <v>42</v>
      </c>
      <c r="C23" s="67" t="s">
        <v>10</v>
      </c>
      <c r="D23" s="76"/>
      <c r="E23" s="263" t="s">
        <v>99</v>
      </c>
      <c r="F23" s="272"/>
      <c r="G23" s="73"/>
      <c r="H23" s="73"/>
    </row>
    <row r="24" spans="1:28" ht="15.5" hidden="1" thickBot="1" x14ac:dyDescent="0.35">
      <c r="A24" s="75"/>
      <c r="B24" s="75" t="s">
        <v>43</v>
      </c>
      <c r="C24" s="67"/>
      <c r="D24" s="76"/>
      <c r="E24" s="273"/>
      <c r="F24" s="274"/>
      <c r="G24" s="73"/>
      <c r="H24" s="73"/>
    </row>
    <row r="25" spans="1:28" s="14" customFormat="1" hidden="1" x14ac:dyDescent="0.3">
      <c r="A25" s="74"/>
      <c r="B25" s="74"/>
      <c r="C25" s="76" t="s">
        <v>4</v>
      </c>
      <c r="D25" s="73"/>
      <c r="E25" s="73"/>
      <c r="F25" s="73"/>
      <c r="G25" s="73"/>
      <c r="H25" s="73"/>
      <c r="AB25" s="15"/>
    </row>
    <row r="26" spans="1:28" s="14" customFormat="1" hidden="1" x14ac:dyDescent="0.3">
      <c r="A26" s="74"/>
      <c r="B26" s="74"/>
      <c r="C26" s="73"/>
      <c r="D26" s="73"/>
      <c r="E26" s="73"/>
      <c r="F26" s="73"/>
      <c r="G26" s="73"/>
      <c r="H26" s="73"/>
      <c r="AB26" s="15"/>
    </row>
    <row r="27" spans="1:28" s="14" customFormat="1" hidden="1" x14ac:dyDescent="0.3">
      <c r="A27" s="74"/>
      <c r="B27" s="74"/>
      <c r="C27" s="73"/>
      <c r="D27" s="73"/>
      <c r="E27" s="73"/>
      <c r="F27" s="73"/>
      <c r="G27" s="73"/>
      <c r="H27" s="73"/>
      <c r="AB27" s="15"/>
    </row>
    <row r="28" spans="1:28" ht="15" x14ac:dyDescent="0.3">
      <c r="A28" s="75"/>
      <c r="B28" s="75" t="s">
        <v>98</v>
      </c>
      <c r="C28" s="91">
        <v>2.9000000000000001E-2</v>
      </c>
      <c r="D28" s="78" t="str">
        <f>" Lesser of 5% or CPI for Year Ending "&amp;C9-1&amp;", Applies to the "&amp;C9&amp;" Levy"</f>
        <v xml:space="preserve"> Lesser of 5% or CPI for Year Ending 2024, Applies to the 2025 Levy</v>
      </c>
      <c r="E28" s="73"/>
      <c r="F28" s="73"/>
      <c r="G28" s="73"/>
      <c r="H28" s="73"/>
    </row>
    <row r="29" spans="1:28" ht="12.75" customHeight="1" x14ac:dyDescent="0.3">
      <c r="A29" s="75"/>
      <c r="B29" s="75"/>
      <c r="C29" s="73"/>
      <c r="D29" s="78"/>
      <c r="E29" s="73"/>
      <c r="F29" s="73"/>
      <c r="G29" s="73"/>
      <c r="H29" s="73"/>
    </row>
    <row r="30" spans="1:28" ht="15" x14ac:dyDescent="0.3">
      <c r="A30" s="75"/>
      <c r="B30" s="75" t="str">
        <f>"Actual Rate Setting EAV for "&amp;C9-1&amp;" "</f>
        <v xml:space="preserve">Actual Rate Setting EAV for 2024 </v>
      </c>
      <c r="C30" s="55"/>
      <c r="D30" s="76" t="str">
        <f>" Enter Actual Rate Setting EAV for "&amp;C9-1&amp;""</f>
        <v xml:space="preserve"> Enter Actual Rate Setting EAV for 2024</v>
      </c>
      <c r="E30" s="73"/>
      <c r="F30" s="73"/>
      <c r="G30" s="73"/>
      <c r="H30" s="73"/>
    </row>
    <row r="31" spans="1:28" x14ac:dyDescent="0.3">
      <c r="A31" s="73"/>
      <c r="B31" s="74"/>
      <c r="C31" s="73"/>
      <c r="D31" s="73"/>
      <c r="E31" s="73"/>
      <c r="F31" s="73"/>
      <c r="G31" s="73"/>
      <c r="H31" s="73"/>
    </row>
    <row r="32" spans="1:28" ht="15" x14ac:dyDescent="0.3">
      <c r="A32" s="73"/>
      <c r="B32" s="75" t="str">
        <f>"Preliminary Figure Available for "&amp;C9&amp;" EAV? "</f>
        <v xml:space="preserve">Preliminary Figure Available for 2025 EAV? </v>
      </c>
      <c r="C32" s="103" t="s">
        <v>9</v>
      </c>
      <c r="D32" s="76" t="s">
        <v>137</v>
      </c>
      <c r="E32" s="73"/>
      <c r="F32" s="73"/>
      <c r="G32" s="73"/>
      <c r="H32" s="73"/>
    </row>
    <row r="33" spans="1:8" x14ac:dyDescent="0.3">
      <c r="A33" s="73"/>
      <c r="B33" s="74"/>
      <c r="C33" s="73"/>
      <c r="D33" s="73"/>
      <c r="E33" s="73"/>
      <c r="F33" s="73"/>
      <c r="G33" s="73"/>
      <c r="H33" s="73"/>
    </row>
    <row r="34" spans="1:8" ht="15" x14ac:dyDescent="0.3">
      <c r="A34" s="75"/>
      <c r="B34" s="75" t="str">
        <f>"Estimated Existing EAV % Change for "&amp;C9&amp;" "</f>
        <v xml:space="preserve">Estimated Existing EAV % Change for 2025 </v>
      </c>
      <c r="C34" s="104"/>
      <c r="D34" s="76" t="str">
        <f>IF(C19="Yes","Enter Reassessment Percentage Before New Property","Enter Reassessment Percentage")</f>
        <v>Enter Reassessment Percentage Before New Property</v>
      </c>
      <c r="E34" s="73"/>
      <c r="F34" s="73"/>
      <c r="G34" s="73"/>
      <c r="H34" s="73"/>
    </row>
    <row r="35" spans="1:8" ht="3" customHeight="1" x14ac:dyDescent="0.3">
      <c r="A35" s="75"/>
      <c r="B35" s="75"/>
      <c r="C35" s="75"/>
      <c r="D35" s="76"/>
      <c r="E35" s="73"/>
      <c r="F35" s="73"/>
      <c r="G35" s="73"/>
      <c r="H35" s="73"/>
    </row>
    <row r="36" spans="1:8" ht="15" x14ac:dyDescent="0.3">
      <c r="A36" s="75"/>
      <c r="B36" s="75" t="str">
        <f>"Estimated or Preliminary EAV for "&amp;C9&amp;" "</f>
        <v xml:space="preserve">Estimated or Preliminary EAV for 2025 </v>
      </c>
      <c r="C36" s="204"/>
      <c r="D36" s="76"/>
      <c r="E36" s="73"/>
      <c r="F36" s="73"/>
      <c r="G36" s="275" t="s">
        <v>143</v>
      </c>
      <c r="H36" s="275"/>
    </row>
    <row r="37" spans="1:8" x14ac:dyDescent="0.3">
      <c r="A37" s="74"/>
      <c r="B37" s="74"/>
      <c r="C37" s="73"/>
      <c r="D37" s="73"/>
      <c r="E37" s="73"/>
      <c r="F37" s="73"/>
      <c r="G37" s="276" t="s">
        <v>144</v>
      </c>
      <c r="H37" s="276"/>
    </row>
    <row r="38" spans="1:8" ht="15" x14ac:dyDescent="0.3">
      <c r="A38" s="75"/>
      <c r="B38" s="75" t="str">
        <f>"Estimated New Property for "&amp;C9&amp;" "</f>
        <v xml:space="preserve">Estimated New Property for 2025 </v>
      </c>
      <c r="C38" s="55"/>
      <c r="D38" s="76" t="s">
        <v>60</v>
      </c>
      <c r="E38" s="73"/>
      <c r="F38" s="73"/>
      <c r="G38" s="277" t="s">
        <v>145</v>
      </c>
      <c r="H38" s="277"/>
    </row>
    <row r="39" spans="1:8" ht="12.75" customHeight="1" x14ac:dyDescent="0.3">
      <c r="A39" s="75"/>
      <c r="B39" s="75"/>
      <c r="C39" s="73"/>
      <c r="D39" s="76"/>
      <c r="E39" s="73"/>
      <c r="F39" s="73"/>
      <c r="G39" s="277" t="s">
        <v>146</v>
      </c>
      <c r="H39" s="277"/>
    </row>
    <row r="40" spans="1:8" ht="15" x14ac:dyDescent="0.3">
      <c r="A40" s="75"/>
      <c r="B40" s="75" t="str">
        <f>"Estimated Total EAV for "&amp;C9&amp;" "</f>
        <v xml:space="preserve">Estimated Total EAV for 2025 </v>
      </c>
      <c r="C40" s="92">
        <f>IF($C$19="Yes",C30*(1+C34)+C38,IF(C32="No",C30*(1+C34),C36))</f>
        <v>0</v>
      </c>
      <c r="D40" s="76" t="s">
        <v>35</v>
      </c>
      <c r="E40" s="73"/>
      <c r="F40" s="73"/>
      <c r="G40" s="277" t="s">
        <v>178</v>
      </c>
      <c r="H40" s="277"/>
    </row>
    <row r="41" spans="1:8" ht="15" x14ac:dyDescent="0.3">
      <c r="A41" s="75"/>
      <c r="B41" s="75" t="s">
        <v>45</v>
      </c>
      <c r="C41" s="90" t="e">
        <f>C40/C30-1</f>
        <v>#DIV/0!</v>
      </c>
      <c r="D41" s="76" t="s">
        <v>35</v>
      </c>
      <c r="E41" s="73"/>
      <c r="F41" s="73"/>
      <c r="G41" s="73"/>
      <c r="H41" s="73"/>
    </row>
    <row r="42" spans="1:8" ht="13.5" thickBot="1" x14ac:dyDescent="0.35">
      <c r="A42" s="73"/>
      <c r="B42" s="73"/>
      <c r="C42" s="73"/>
      <c r="D42" s="73"/>
      <c r="E42" s="73"/>
      <c r="F42" s="73"/>
      <c r="G42" s="73"/>
      <c r="H42" s="73"/>
    </row>
    <row r="43" spans="1:8" ht="15" hidden="1" x14ac:dyDescent="0.3">
      <c r="A43" s="75"/>
      <c r="B43" s="79" t="s">
        <v>46</v>
      </c>
      <c r="C43" s="67">
        <v>0</v>
      </c>
      <c r="D43" s="76"/>
      <c r="E43" s="73"/>
      <c r="F43" s="73"/>
      <c r="G43" s="73"/>
      <c r="H43" s="73"/>
    </row>
    <row r="44" spans="1:8" ht="13.5" hidden="1" thickBot="1" x14ac:dyDescent="0.35">
      <c r="A44" s="74"/>
      <c r="B44" s="74"/>
      <c r="C44" s="73"/>
      <c r="D44" s="73"/>
      <c r="E44" s="73"/>
      <c r="F44" s="73"/>
      <c r="G44" s="73"/>
      <c r="H44" s="73"/>
    </row>
    <row r="45" spans="1:8" x14ac:dyDescent="0.3">
      <c r="A45" s="74"/>
      <c r="B45" s="74"/>
      <c r="C45" s="73"/>
      <c r="D45" s="73"/>
      <c r="E45" s="263" t="s">
        <v>100</v>
      </c>
      <c r="F45" s="264"/>
      <c r="G45" s="265"/>
      <c r="H45" s="73"/>
    </row>
    <row r="46" spans="1:8" x14ac:dyDescent="0.3">
      <c r="A46" s="74"/>
      <c r="B46" s="74"/>
      <c r="C46" s="73"/>
      <c r="D46" s="73"/>
      <c r="E46" s="266"/>
      <c r="F46" s="267"/>
      <c r="G46" s="268"/>
      <c r="H46" s="73"/>
    </row>
    <row r="47" spans="1:8" ht="13.5" thickBot="1" x14ac:dyDescent="0.35">
      <c r="A47" s="74"/>
      <c r="B47" s="74"/>
      <c r="C47" s="73"/>
      <c r="D47" s="73"/>
      <c r="E47" s="269"/>
      <c r="F47" s="270"/>
      <c r="G47" s="271"/>
      <c r="H47" s="73"/>
    </row>
    <row r="48" spans="1:8" x14ac:dyDescent="0.3">
      <c r="A48" s="74"/>
      <c r="B48" s="74"/>
      <c r="C48" s="74"/>
      <c r="D48" s="73"/>
      <c r="E48" s="73"/>
      <c r="F48" s="73"/>
      <c r="G48" s="73"/>
      <c r="H48" s="73"/>
    </row>
    <row r="49" spans="1:8" ht="39" x14ac:dyDescent="0.3">
      <c r="A49" s="74"/>
      <c r="B49" s="74"/>
      <c r="C49" s="99" t="s">
        <v>76</v>
      </c>
      <c r="D49" s="99" t="str">
        <f>"Total "&amp;C9-1&amp;" Extension for all Counties"</f>
        <v>Total 2024 Extension for all Counties</v>
      </c>
      <c r="E49" s="99" t="str">
        <f>"Input "&amp;C9-1&amp;" "&amp;C13&amp;" County Extension:"</f>
        <v>Input 2024  County Extension:</v>
      </c>
      <c r="F49" s="99" t="str">
        <f>IF(C14="","","Input "&amp;C9-1&amp;" "&amp;C14&amp;" County Extension:")</f>
        <v/>
      </c>
      <c r="G49" s="99" t="str">
        <f>IF(C15="","","Input "&amp;C9-1&amp;" "&amp;C15&amp;" County Extension:")</f>
        <v/>
      </c>
      <c r="H49" s="99" t="str">
        <f>IF(C16="","","Input "&amp;C9-1&amp;" "&amp;C16&amp;" County Extension:")</f>
        <v/>
      </c>
    </row>
    <row r="50" spans="1:8" ht="15" x14ac:dyDescent="0.3">
      <c r="A50" s="105" t="str">
        <f>IF($C$19="Yes","N/A"," ")</f>
        <v>N/A</v>
      </c>
      <c r="B50" s="75" t="s">
        <v>129</v>
      </c>
      <c r="C50" s="251"/>
      <c r="D50" s="59">
        <f>SUM(E50:H50)</f>
        <v>0</v>
      </c>
      <c r="E50" s="177"/>
      <c r="F50" s="69"/>
      <c r="G50" s="69"/>
      <c r="H50" s="69"/>
    </row>
    <row r="51" spans="1:8" ht="15" x14ac:dyDescent="0.3">
      <c r="A51" s="75"/>
      <c r="B51" s="75" t="s">
        <v>156</v>
      </c>
      <c r="C51" s="251"/>
      <c r="D51" s="59">
        <f t="shared" ref="D51:D71" si="0">SUM(E51:H51)</f>
        <v>0</v>
      </c>
      <c r="E51" s="177"/>
      <c r="F51" s="69"/>
      <c r="G51" s="69"/>
      <c r="H51" s="69"/>
    </row>
    <row r="52" spans="1:8" ht="15" x14ac:dyDescent="0.3">
      <c r="A52" s="75"/>
      <c r="B52" s="75" t="s">
        <v>157</v>
      </c>
      <c r="C52" s="251"/>
      <c r="D52" s="59">
        <f t="shared" si="0"/>
        <v>0</v>
      </c>
      <c r="E52" s="177"/>
      <c r="F52" s="69"/>
      <c r="G52" s="69"/>
      <c r="H52" s="69"/>
    </row>
    <row r="53" spans="1:8" ht="15" x14ac:dyDescent="0.3">
      <c r="A53" s="75"/>
      <c r="B53" s="75" t="s">
        <v>158</v>
      </c>
      <c r="C53" s="252"/>
      <c r="D53" s="59">
        <f t="shared" si="0"/>
        <v>0</v>
      </c>
      <c r="E53" s="177"/>
      <c r="F53" s="69"/>
      <c r="G53" s="69"/>
      <c r="H53" s="69"/>
    </row>
    <row r="54" spans="1:8" ht="15" x14ac:dyDescent="0.3">
      <c r="A54" s="75"/>
      <c r="B54" s="75" t="s">
        <v>48</v>
      </c>
      <c r="C54" s="252"/>
      <c r="D54" s="59">
        <f t="shared" si="0"/>
        <v>0</v>
      </c>
      <c r="E54" s="177"/>
      <c r="F54" s="69"/>
      <c r="G54" s="69"/>
      <c r="H54" s="69"/>
    </row>
    <row r="55" spans="1:8" ht="15" x14ac:dyDescent="0.3">
      <c r="A55" s="75"/>
      <c r="B55" s="75" t="s">
        <v>128</v>
      </c>
      <c r="C55" s="252"/>
      <c r="D55" s="59">
        <f t="shared" si="0"/>
        <v>0</v>
      </c>
      <c r="E55" s="177"/>
      <c r="F55" s="69"/>
      <c r="G55" s="69"/>
      <c r="H55" s="69"/>
    </row>
    <row r="56" spans="1:8" ht="15" x14ac:dyDescent="0.3">
      <c r="A56" s="75"/>
      <c r="B56" s="75" t="s">
        <v>127</v>
      </c>
      <c r="C56" s="252"/>
      <c r="D56" s="59">
        <f t="shared" si="0"/>
        <v>0</v>
      </c>
      <c r="E56" s="177"/>
      <c r="F56" s="69"/>
      <c r="G56" s="69"/>
      <c r="H56" s="69"/>
    </row>
    <row r="57" spans="1:8" ht="15" x14ac:dyDescent="0.3">
      <c r="A57" s="75"/>
      <c r="B57" s="75" t="s">
        <v>49</v>
      </c>
      <c r="C57" s="252"/>
      <c r="D57" s="59">
        <f t="shared" si="0"/>
        <v>0</v>
      </c>
      <c r="E57" s="177"/>
      <c r="F57" s="69"/>
      <c r="G57" s="69"/>
      <c r="H57" s="69"/>
    </row>
    <row r="58" spans="1:8" ht="15" x14ac:dyDescent="0.3">
      <c r="A58" s="75"/>
      <c r="B58" s="75" t="s">
        <v>126</v>
      </c>
      <c r="C58" s="252"/>
      <c r="D58" s="59">
        <f t="shared" si="0"/>
        <v>0</v>
      </c>
      <c r="E58" s="177"/>
      <c r="F58" s="69"/>
      <c r="G58" s="69"/>
      <c r="H58" s="69"/>
    </row>
    <row r="59" spans="1:8" ht="15" x14ac:dyDescent="0.3">
      <c r="A59" s="75"/>
      <c r="B59" s="75" t="s">
        <v>159</v>
      </c>
      <c r="C59" s="252"/>
      <c r="D59" s="59">
        <f t="shared" si="0"/>
        <v>0</v>
      </c>
      <c r="E59" s="177"/>
      <c r="F59" s="69"/>
      <c r="G59" s="69"/>
      <c r="H59" s="69"/>
    </row>
    <row r="60" spans="1:8" ht="15" x14ac:dyDescent="0.3">
      <c r="A60" s="75"/>
      <c r="B60" s="75" t="s">
        <v>160</v>
      </c>
      <c r="C60" s="252"/>
      <c r="D60" s="59">
        <f t="shared" si="0"/>
        <v>0</v>
      </c>
      <c r="E60" s="177"/>
      <c r="F60" s="69"/>
      <c r="G60" s="69"/>
      <c r="H60" s="69"/>
    </row>
    <row r="61" spans="1:8" ht="15" x14ac:dyDescent="0.3">
      <c r="A61" s="75"/>
      <c r="B61" s="75" t="s">
        <v>161</v>
      </c>
      <c r="C61" s="251"/>
      <c r="D61" s="59">
        <f t="shared" si="0"/>
        <v>0</v>
      </c>
      <c r="E61" s="177"/>
      <c r="F61" s="69"/>
      <c r="G61" s="69"/>
      <c r="H61" s="69"/>
    </row>
    <row r="62" spans="1:8" ht="15" x14ac:dyDescent="0.3">
      <c r="A62" s="75"/>
      <c r="B62" s="75" t="s">
        <v>162</v>
      </c>
      <c r="C62" s="251"/>
      <c r="D62" s="59">
        <f t="shared" si="0"/>
        <v>0</v>
      </c>
      <c r="E62" s="177"/>
      <c r="F62" s="69"/>
      <c r="G62" s="69"/>
      <c r="H62" s="69"/>
    </row>
    <row r="63" spans="1:8" ht="15" x14ac:dyDescent="0.3">
      <c r="A63" s="75"/>
      <c r="B63" s="75" t="s">
        <v>163</v>
      </c>
      <c r="C63" s="251"/>
      <c r="D63" s="59">
        <f t="shared" si="0"/>
        <v>0</v>
      </c>
      <c r="E63" s="177"/>
      <c r="F63" s="69"/>
      <c r="G63" s="69"/>
      <c r="H63" s="69"/>
    </row>
    <row r="64" spans="1:8" ht="15" x14ac:dyDescent="0.3">
      <c r="A64" s="75"/>
      <c r="B64" s="75" t="s">
        <v>164</v>
      </c>
      <c r="C64" s="251"/>
      <c r="D64" s="59">
        <f t="shared" si="0"/>
        <v>0</v>
      </c>
      <c r="E64" s="177"/>
      <c r="F64" s="69"/>
      <c r="G64" s="69"/>
      <c r="H64" s="69"/>
    </row>
    <row r="65" spans="1:8" ht="15" x14ac:dyDescent="0.3">
      <c r="A65" s="75"/>
      <c r="B65" s="75" t="s">
        <v>165</v>
      </c>
      <c r="C65" s="251"/>
      <c r="D65" s="59">
        <f t="shared" si="0"/>
        <v>0</v>
      </c>
      <c r="E65" s="177"/>
      <c r="F65" s="69"/>
      <c r="G65" s="69"/>
      <c r="H65" s="69"/>
    </row>
    <row r="66" spans="1:8" ht="15" x14ac:dyDescent="0.3">
      <c r="A66" s="75"/>
      <c r="B66" s="75" t="s">
        <v>166</v>
      </c>
      <c r="C66" s="251"/>
      <c r="D66" s="59">
        <f t="shared" si="0"/>
        <v>0</v>
      </c>
      <c r="E66" s="177"/>
      <c r="F66" s="69"/>
      <c r="G66" s="69"/>
      <c r="H66" s="69"/>
    </row>
    <row r="67" spans="1:8" ht="15" x14ac:dyDescent="0.3">
      <c r="A67" s="79" t="s">
        <v>50</v>
      </c>
      <c r="B67" s="68" t="s">
        <v>130</v>
      </c>
      <c r="C67" s="251"/>
      <c r="D67" s="59">
        <f t="shared" si="0"/>
        <v>0</v>
      </c>
      <c r="E67" s="177"/>
      <c r="F67" s="69"/>
      <c r="G67" s="69"/>
      <c r="H67" s="69"/>
    </row>
    <row r="68" spans="1:8" ht="15" x14ac:dyDescent="0.3">
      <c r="A68" s="79" t="s">
        <v>50</v>
      </c>
      <c r="B68" s="68" t="s">
        <v>131</v>
      </c>
      <c r="C68" s="251"/>
      <c r="D68" s="59">
        <f t="shared" si="0"/>
        <v>0</v>
      </c>
      <c r="E68" s="177"/>
      <c r="F68" s="69"/>
      <c r="G68" s="69"/>
      <c r="H68" s="69"/>
    </row>
    <row r="69" spans="1:8" ht="15" x14ac:dyDescent="0.3">
      <c r="A69" s="79" t="s">
        <v>50</v>
      </c>
      <c r="B69" s="68" t="s">
        <v>176</v>
      </c>
      <c r="C69" s="251"/>
      <c r="D69" s="59">
        <f t="shared" ref="D69:D70" si="1">SUM(E69:H69)</f>
        <v>0</v>
      </c>
      <c r="E69" s="177"/>
      <c r="F69" s="69"/>
      <c r="G69" s="69"/>
      <c r="H69" s="69"/>
    </row>
    <row r="70" spans="1:8" ht="15" x14ac:dyDescent="0.3">
      <c r="A70" s="79" t="s">
        <v>50</v>
      </c>
      <c r="B70" s="68" t="s">
        <v>184</v>
      </c>
      <c r="C70" s="251"/>
      <c r="D70" s="59">
        <f t="shared" si="1"/>
        <v>0</v>
      </c>
      <c r="E70" s="177"/>
      <c r="F70" s="69"/>
      <c r="G70" s="69"/>
      <c r="H70" s="69"/>
    </row>
    <row r="71" spans="1:8" ht="15" x14ac:dyDescent="0.3">
      <c r="A71" s="79" t="s">
        <v>50</v>
      </c>
      <c r="B71" s="68" t="s">
        <v>174</v>
      </c>
      <c r="C71" s="252"/>
      <c r="D71" s="59">
        <f t="shared" si="0"/>
        <v>0</v>
      </c>
      <c r="E71" s="177"/>
      <c r="F71" s="69"/>
      <c r="G71" s="69"/>
      <c r="H71" s="69"/>
    </row>
    <row r="72" spans="1:8" ht="15" x14ac:dyDescent="0.3">
      <c r="A72" s="79" t="s">
        <v>50</v>
      </c>
      <c r="B72" s="68" t="s">
        <v>175</v>
      </c>
      <c r="C72" s="253"/>
      <c r="D72" s="59">
        <f t="shared" ref="D72" si="2">SUM(E72:H72)</f>
        <v>0</v>
      </c>
      <c r="E72" s="177"/>
      <c r="F72" s="69"/>
      <c r="G72" s="69"/>
      <c r="H72" s="69"/>
    </row>
    <row r="73" spans="1:8" ht="15" x14ac:dyDescent="0.3">
      <c r="A73" s="75"/>
      <c r="B73" s="80"/>
      <c r="C73" s="75"/>
      <c r="D73" s="81"/>
      <c r="E73" s="74"/>
      <c r="F73" s="74"/>
      <c r="G73" s="74"/>
      <c r="H73" s="74"/>
    </row>
    <row r="74" spans="1:8" ht="15" x14ac:dyDescent="0.3">
      <c r="A74" s="73"/>
      <c r="B74" s="73"/>
      <c r="C74" s="75" t="str">
        <f>IF(C19="Yes","Total Capped Extension for "&amp;C9-1&amp;" ","Total Aggregate Extension for "&amp;C9-1&amp;" ")</f>
        <v xml:space="preserve">Total Capped Extension for 2024 </v>
      </c>
      <c r="D74" s="244">
        <f>SUM(D50:D72)</f>
        <v>0</v>
      </c>
      <c r="E74" s="245" t="str">
        <f>IF(E50&gt;0,SUM(E50:E72),"")</f>
        <v/>
      </c>
      <c r="F74" s="246" t="str">
        <f>IF(F50&gt;0,SUM(F50:F72),"")</f>
        <v/>
      </c>
      <c r="G74" s="246" t="str">
        <f>IF(G50&gt;0,SUM(G50:G72),"")</f>
        <v/>
      </c>
      <c r="H74" s="246" t="str">
        <f>IF(H50&gt;0,SUM(H50:H72),"")</f>
        <v/>
      </c>
    </row>
    <row r="75" spans="1:8" x14ac:dyDescent="0.3">
      <c r="A75" s="73"/>
      <c r="B75" s="73"/>
      <c r="C75" s="73"/>
      <c r="D75" s="73"/>
      <c r="E75" s="73"/>
      <c r="F75" s="73"/>
      <c r="G75" s="73"/>
      <c r="H75" s="73"/>
    </row>
    <row r="76" spans="1:8" ht="15" x14ac:dyDescent="0.3">
      <c r="A76" s="73"/>
      <c r="B76" s="75" t="s">
        <v>93</v>
      </c>
      <c r="C76" s="134">
        <v>0.04</v>
      </c>
      <c r="D76" s="62">
        <f t="shared" ref="D76" si="3">SUM(E76:H76)</f>
        <v>0</v>
      </c>
      <c r="E76" s="177"/>
      <c r="F76" s="69"/>
      <c r="G76" s="69"/>
      <c r="H76" s="69"/>
    </row>
    <row r="77" spans="1:8" ht="15" x14ac:dyDescent="0.3">
      <c r="A77" s="73"/>
      <c r="B77" s="73"/>
      <c r="C77" s="75"/>
      <c r="D77" s="73"/>
      <c r="E77" s="73"/>
      <c r="F77" s="73"/>
      <c r="G77" s="73"/>
      <c r="H77" s="73"/>
    </row>
    <row r="78" spans="1:8" ht="15" x14ac:dyDescent="0.3">
      <c r="A78" s="79" t="s">
        <v>50</v>
      </c>
      <c r="B78" s="68" t="s">
        <v>181</v>
      </c>
      <c r="C78" s="75"/>
      <c r="D78" s="62">
        <f t="shared" ref="D78" si="4">SUM(E78:H78)</f>
        <v>0</v>
      </c>
      <c r="E78" s="177"/>
      <c r="F78" s="69"/>
      <c r="G78" s="69"/>
      <c r="H78" s="69"/>
    </row>
    <row r="79" spans="1:8" ht="15" x14ac:dyDescent="0.3">
      <c r="A79" s="73"/>
      <c r="B79" s="73"/>
      <c r="C79" s="75"/>
      <c r="D79" s="73"/>
      <c r="E79" s="73"/>
      <c r="F79" s="73"/>
      <c r="G79" s="73"/>
      <c r="H79" s="73"/>
    </row>
    <row r="80" spans="1:8" ht="15" x14ac:dyDescent="0.3">
      <c r="A80" s="73"/>
      <c r="B80" s="73"/>
      <c r="C80" s="75" t="str">
        <f>"Bond and Interest Extension for "&amp;C9-1&amp;" "</f>
        <v xml:space="preserve">Bond and Interest Extension for 2024 </v>
      </c>
      <c r="D80" s="62">
        <f t="shared" ref="D80" si="5">SUM(E80:H80)</f>
        <v>0</v>
      </c>
      <c r="E80" s="177"/>
      <c r="F80" s="69"/>
      <c r="G80" s="69"/>
      <c r="H80" s="69"/>
    </row>
    <row r="81" spans="1:8" ht="15" x14ac:dyDescent="0.3">
      <c r="A81" s="75"/>
      <c r="B81" s="75"/>
      <c r="C81" s="75"/>
      <c r="D81" s="82"/>
      <c r="E81" s="73"/>
      <c r="F81" s="73"/>
      <c r="G81" s="73"/>
      <c r="H81" s="73"/>
    </row>
    <row r="82" spans="1:8" ht="15" x14ac:dyDescent="0.3">
      <c r="A82" s="75"/>
      <c r="B82" s="75"/>
      <c r="C82" s="75" t="str">
        <f>"Total "&amp;C9-1&amp;" Extension "</f>
        <v xml:space="preserve">Total 2024 Extension </v>
      </c>
      <c r="D82" s="62">
        <f>IF(C$19="Yes",D74+D80+D76+D78,D74+D76+D80)</f>
        <v>0</v>
      </c>
      <c r="E82" s="76" t="s">
        <v>28</v>
      </c>
      <c r="F82" s="76"/>
      <c r="G82" s="76"/>
      <c r="H82" s="76"/>
    </row>
    <row r="83" spans="1:8" ht="15" x14ac:dyDescent="0.3">
      <c r="A83" s="74"/>
      <c r="B83" s="74"/>
      <c r="C83" s="75"/>
      <c r="D83" s="73"/>
      <c r="E83" s="76"/>
      <c r="F83" s="76"/>
      <c r="G83" s="76"/>
      <c r="H83" s="76"/>
    </row>
    <row r="84" spans="1:8" x14ac:dyDescent="0.3">
      <c r="A84" s="83"/>
      <c r="B84" s="74"/>
      <c r="C84" s="73"/>
      <c r="D84" s="73"/>
      <c r="E84" s="73"/>
      <c r="F84" s="73"/>
      <c r="G84" s="73"/>
      <c r="H84" s="73"/>
    </row>
    <row r="85" spans="1:8" hidden="1" x14ac:dyDescent="0.3">
      <c r="A85" s="83"/>
      <c r="B85" s="74"/>
      <c r="C85" s="73"/>
      <c r="D85" s="73"/>
      <c r="E85" s="73"/>
      <c r="F85" s="73"/>
      <c r="G85" s="73"/>
      <c r="H85" s="73"/>
    </row>
    <row r="86" spans="1:8" hidden="1" x14ac:dyDescent="0.3">
      <c r="A86" s="74"/>
      <c r="B86" s="74"/>
      <c r="C86" s="74"/>
      <c r="D86" s="73"/>
      <c r="E86" s="73"/>
      <c r="F86" s="73"/>
      <c r="G86" s="73"/>
      <c r="H86" s="73"/>
    </row>
  </sheetData>
  <sheetProtection algorithmName="SHA-512" hashValue="mnABgWqmNREm3lYEV9ujU01/JqV8JWzM1s2VcVrK2KazANK4e/R6JLi5G1TTXOZCmNQ3Zjo8SGeK/YqaqBdEIw==" saltValue="FIrXtwTIx3pnzkR6LKBgrA==" spinCount="100000" sheet="1" objects="1" scenarios="1"/>
  <mergeCells count="8">
    <mergeCell ref="E19:G21"/>
    <mergeCell ref="E45:G47"/>
    <mergeCell ref="E23:F24"/>
    <mergeCell ref="G36:H36"/>
    <mergeCell ref="G37:H37"/>
    <mergeCell ref="G38:H38"/>
    <mergeCell ref="G39:H39"/>
    <mergeCell ref="G40:H40"/>
  </mergeCells>
  <phoneticPr fontId="3" type="noConversion"/>
  <conditionalFormatting sqref="A21">
    <cfRule type="expression" dxfId="215" priority="43" stopIfTrue="1">
      <formula>$C$19="No"</formula>
    </cfRule>
  </conditionalFormatting>
  <conditionalFormatting sqref="A28:B29">
    <cfRule type="expression" dxfId="214" priority="31" stopIfTrue="1">
      <formula>$C$19="No"</formula>
    </cfRule>
  </conditionalFormatting>
  <conditionalFormatting sqref="A36:C36">
    <cfRule type="expression" dxfId="213" priority="18">
      <formula>$C$32="No"</formula>
    </cfRule>
  </conditionalFormatting>
  <conditionalFormatting sqref="A34:D34">
    <cfRule type="expression" dxfId="212" priority="16">
      <formula>$C$32="Yes"</formula>
    </cfRule>
  </conditionalFormatting>
  <conditionalFormatting sqref="A38:D38">
    <cfRule type="expression" dxfId="211" priority="20" stopIfTrue="1">
      <formula>$C$19="No"</formula>
    </cfRule>
  </conditionalFormatting>
  <conditionalFormatting sqref="A36:F36">
    <cfRule type="expression" dxfId="210" priority="17">
      <formula>$C$19="Yes"</formula>
    </cfRule>
  </conditionalFormatting>
  <conditionalFormatting sqref="A32:H32">
    <cfRule type="expression" dxfId="209" priority="19">
      <formula>$C$19="Yes"</formula>
    </cfRule>
  </conditionalFormatting>
  <conditionalFormatting sqref="A78:H78">
    <cfRule type="expression" dxfId="208" priority="1" stopIfTrue="1">
      <formula>$C$19="No"</formula>
    </cfRule>
  </conditionalFormatting>
  <conditionalFormatting sqref="C28">
    <cfRule type="expression" dxfId="207" priority="44" stopIfTrue="1">
      <formula>$C$19="No"</formula>
    </cfRule>
  </conditionalFormatting>
  <conditionalFormatting sqref="D28:D29">
    <cfRule type="expression" dxfId="206" priority="30" stopIfTrue="1">
      <formula>$C$19="No"</formula>
    </cfRule>
  </conditionalFormatting>
  <conditionalFormatting sqref="D40:D41">
    <cfRule type="expression" dxfId="205" priority="15">
      <formula>$C$19="No"</formula>
    </cfRule>
  </conditionalFormatting>
  <conditionalFormatting sqref="F50">
    <cfRule type="expression" dxfId="204" priority="49" stopIfTrue="1">
      <formula>$C$14=""</formula>
    </cfRule>
  </conditionalFormatting>
  <conditionalFormatting sqref="F51:F72">
    <cfRule type="expression" dxfId="203" priority="46" stopIfTrue="1">
      <formula>$C$14=""</formula>
    </cfRule>
  </conditionalFormatting>
  <conditionalFormatting sqref="F74">
    <cfRule type="expression" dxfId="202" priority="23" stopIfTrue="1">
      <formula>$C$14=""</formula>
    </cfRule>
  </conditionalFormatting>
  <conditionalFormatting sqref="F76">
    <cfRule type="expression" dxfId="201" priority="8" stopIfTrue="1">
      <formula>$C$14=""</formula>
    </cfRule>
  </conditionalFormatting>
  <conditionalFormatting sqref="F78">
    <cfRule type="expression" dxfId="200" priority="2" stopIfTrue="1">
      <formula>$C$14=""</formula>
    </cfRule>
  </conditionalFormatting>
  <conditionalFormatting sqref="F80">
    <cfRule type="expression" dxfId="199" priority="5" stopIfTrue="1">
      <formula>$C$14=""</formula>
    </cfRule>
  </conditionalFormatting>
  <conditionalFormatting sqref="F49:H49">
    <cfRule type="expression" dxfId="198" priority="45" stopIfTrue="1">
      <formula>$C$14=""</formula>
    </cfRule>
  </conditionalFormatting>
  <conditionalFormatting sqref="G50:G72">
    <cfRule type="expression" dxfId="197" priority="47" stopIfTrue="1">
      <formula>$C$15=""</formula>
    </cfRule>
  </conditionalFormatting>
  <conditionalFormatting sqref="G74">
    <cfRule type="expression" dxfId="196" priority="24" stopIfTrue="1">
      <formula>$C$15=""</formula>
    </cfRule>
  </conditionalFormatting>
  <conditionalFormatting sqref="G76">
    <cfRule type="expression" dxfId="195" priority="9" stopIfTrue="1">
      <formula>$C$15=""</formula>
    </cfRule>
  </conditionalFormatting>
  <conditionalFormatting sqref="G78">
    <cfRule type="expression" dxfId="194" priority="3" stopIfTrue="1">
      <formula>$C$15=""</formula>
    </cfRule>
  </conditionalFormatting>
  <conditionalFormatting sqref="G80">
    <cfRule type="expression" dxfId="193" priority="6" stopIfTrue="1">
      <formula>$C$15=""</formula>
    </cfRule>
  </conditionalFormatting>
  <conditionalFormatting sqref="G36:H37 G38:G39 G40:H40">
    <cfRule type="expression" dxfId="192" priority="11" stopIfTrue="1">
      <formula>$C$13="Cook"</formula>
    </cfRule>
    <cfRule type="expression" dxfId="191" priority="12" stopIfTrue="1">
      <formula>$C$14="Cook"</formula>
    </cfRule>
    <cfRule type="expression" dxfId="190" priority="13" stopIfTrue="1">
      <formula>$C$15="Cook"</formula>
    </cfRule>
    <cfRule type="expression" dxfId="189" priority="14" stopIfTrue="1">
      <formula>$C$16="Cook"</formula>
    </cfRule>
  </conditionalFormatting>
  <conditionalFormatting sqref="H50:H72">
    <cfRule type="expression" dxfId="188" priority="48" stopIfTrue="1">
      <formula>$C$16=""</formula>
    </cfRule>
  </conditionalFormatting>
  <conditionalFormatting sqref="H74">
    <cfRule type="expression" dxfId="187" priority="25" stopIfTrue="1">
      <formula>$C$16=""</formula>
    </cfRule>
  </conditionalFormatting>
  <conditionalFormatting sqref="H76">
    <cfRule type="expression" dxfId="186" priority="10" stopIfTrue="1">
      <formula>$C$16=""</formula>
    </cfRule>
  </conditionalFormatting>
  <conditionalFormatting sqref="H78">
    <cfRule type="expression" dxfId="185" priority="4" stopIfTrue="1">
      <formula>$C$16=""</formula>
    </cfRule>
  </conditionalFormatting>
  <conditionalFormatting sqref="H80">
    <cfRule type="expression" dxfId="184" priority="7" stopIfTrue="1">
      <formula>$C$16=""</formula>
    </cfRule>
  </conditionalFormatting>
  <dataValidations count="3">
    <dataValidation type="list" showInputMessage="1" showErrorMessage="1" error="Please input only Yes or No" prompt="Is the District subject to PTELL - Tax Cap?" sqref="C19" xr:uid="{00000000-0002-0000-0200-000000000000}">
      <formula1>$AB$7:$AB$8</formula1>
    </dataValidation>
    <dataValidation type="list" showInputMessage="1" showErrorMessage="1" error="Please input only Yes or No" prompt="This determines individual fund maximums on the Calculations and Extension tabs" sqref="C21" xr:uid="{00000000-0002-0000-0200-000001000000}">
      <formula1>$AB$7:$AB$8</formula1>
    </dataValidation>
    <dataValidation type="list" showInputMessage="1" showErrorMessage="1" error="Please input only Yes or No" sqref="C32" xr:uid="{E2472654-0762-42E2-8811-C6A136C739EE}">
      <formula1>$AB$7:$AB$8</formula1>
    </dataValidation>
  </dataValidations>
  <hyperlinks>
    <hyperlink ref="B3" r:id="rId1" xr:uid="{5820ADEB-7B13-4B36-8B6E-FB95899394E6}"/>
    <hyperlink ref="B5" r:id="rId2" xr:uid="{3C1B947E-3752-4035-9DEE-F440E9D0D516}"/>
    <hyperlink ref="B4" r:id="rId3" xr:uid="{94A722FA-1009-4CAE-8EFE-222788187A26}"/>
  </hyperlinks>
  <pageMargins left="0.5" right="0.5" top="0.5" bottom="0.5" header="0.5" footer="0.5"/>
  <pageSetup scale="70" orientation="portrait" r:id="rId4"/>
  <headerFooter alignWithMargins="0"/>
  <rowBreaks count="1" manualBreakCount="1">
    <brk id="84"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rgb="FF00B0F0"/>
    <pageSetUpPr fitToPage="1"/>
  </sheetPr>
  <dimension ref="A1:L53"/>
  <sheetViews>
    <sheetView showGridLines="0" zoomScaleNormal="100" workbookViewId="0">
      <selection activeCell="C40" sqref="C40"/>
    </sheetView>
  </sheetViews>
  <sheetFormatPr defaultColWidth="0" defaultRowHeight="13" zeroHeight="1" x14ac:dyDescent="0.3"/>
  <cols>
    <col min="1" max="1" width="38.54296875" style="1" customWidth="1"/>
    <col min="2" max="2" width="18.26953125" style="1" customWidth="1"/>
    <col min="3" max="3" width="15.453125" style="1" customWidth="1"/>
    <col min="4" max="4" width="23" style="1" bestFit="1" customWidth="1"/>
    <col min="5" max="5" width="1.54296875" style="1" customWidth="1"/>
    <col min="6" max="6" width="21.7265625" style="1" customWidth="1"/>
    <col min="7" max="7" width="19.1796875" style="1" customWidth="1"/>
    <col min="8" max="8" width="19" style="1" customWidth="1"/>
    <col min="9" max="9" width="2.81640625" style="1" customWidth="1"/>
    <col min="10" max="10" width="19" style="1" customWidth="1"/>
    <col min="11" max="12" width="11.7265625" style="1" customWidth="1"/>
    <col min="13" max="13" width="0.81640625" style="1" customWidth="1"/>
    <col min="14" max="16384" width="0" style="1" hidden="1"/>
  </cols>
  <sheetData>
    <row r="1" spans="1:12" ht="15.75" customHeight="1" thickBot="1" x14ac:dyDescent="0.35">
      <c r="H1" s="49" t="s">
        <v>32</v>
      </c>
      <c r="J1" s="297" t="s">
        <v>31</v>
      </c>
      <c r="K1" s="297"/>
      <c r="L1" s="297"/>
    </row>
    <row r="2" spans="1:12" ht="15.75" customHeight="1" x14ac:dyDescent="0.35">
      <c r="A2" s="288" t="str">
        <f>Input!$C$9&amp;" LEVY CALCULATION PAGE "</f>
        <v xml:space="preserve">2025 LEVY CALCULATION PAGE </v>
      </c>
      <c r="B2" s="288"/>
      <c r="F2" s="2"/>
      <c r="G2" s="2" t="s">
        <v>44</v>
      </c>
      <c r="H2" s="91">
        <f>Input!$C$28</f>
        <v>2.9000000000000001E-2</v>
      </c>
      <c r="J2" s="279" t="s">
        <v>155</v>
      </c>
      <c r="K2" s="280"/>
      <c r="L2" s="281"/>
    </row>
    <row r="3" spans="1:12" ht="15.75" customHeight="1" x14ac:dyDescent="0.3">
      <c r="F3" s="48"/>
      <c r="G3" s="2" t="str">
        <f>"Actual Total EAV for "&amp;Input!C9-1&amp;" "</f>
        <v xml:space="preserve">Actual Total EAV for 2024 </v>
      </c>
      <c r="H3" s="53">
        <f>Input!$C$30</f>
        <v>0</v>
      </c>
      <c r="J3" s="282" t="s">
        <v>30</v>
      </c>
      <c r="K3" s="283"/>
      <c r="L3" s="284"/>
    </row>
    <row r="4" spans="1:12" ht="15.5" thickBot="1" x14ac:dyDescent="0.35">
      <c r="F4" s="2"/>
      <c r="I4" s="50"/>
      <c r="J4" s="285" t="s">
        <v>34</v>
      </c>
      <c r="K4" s="286"/>
      <c r="L4" s="287"/>
    </row>
    <row r="5" spans="1:12" ht="15.75" customHeight="1" x14ac:dyDescent="0.3">
      <c r="A5" s="278" t="s">
        <v>5</v>
      </c>
      <c r="B5" s="289" t="s">
        <v>7</v>
      </c>
      <c r="C5" s="289"/>
      <c r="D5" s="289"/>
      <c r="F5" s="2"/>
      <c r="G5" s="2" t="str">
        <f>"Estimated Existing EAV % change for "&amp;Input!C9&amp;" "</f>
        <v xml:space="preserve">Estimated Existing EAV % change for 2025 </v>
      </c>
      <c r="H5" s="91">
        <f>IF(Input!$C$19="Yes",Input!$C$34,Input!$C$41)</f>
        <v>0</v>
      </c>
      <c r="I5" s="50"/>
    </row>
    <row r="6" spans="1:12" ht="15.75" customHeight="1" x14ac:dyDescent="0.3">
      <c r="A6" s="278"/>
      <c r="B6" s="292" t="s">
        <v>29</v>
      </c>
      <c r="C6" s="292"/>
      <c r="D6" s="292"/>
      <c r="F6" s="2"/>
      <c r="G6" s="2" t="str">
        <f>"Estimated Existing EAV Value for "&amp;Input!C9&amp;" "</f>
        <v xml:space="preserve">Estimated Existing EAV Value for 2025 </v>
      </c>
      <c r="H6" s="53">
        <f>H3*(1+H5)</f>
        <v>0</v>
      </c>
      <c r="I6" s="50"/>
    </row>
    <row r="7" spans="1:12" ht="15.75" customHeight="1" x14ac:dyDescent="0.3">
      <c r="F7" s="48"/>
      <c r="G7" s="48"/>
    </row>
    <row r="8" spans="1:12" ht="15" x14ac:dyDescent="0.3">
      <c r="F8" s="2"/>
      <c r="G8" s="2" t="str">
        <f>"Estimated New Property for "&amp;Input!C9&amp;" "</f>
        <v xml:space="preserve">Estimated New Property for 2025 </v>
      </c>
      <c r="H8" s="53">
        <f>IF(Input!$C$19="No",0,Input!$C$38)</f>
        <v>0</v>
      </c>
    </row>
    <row r="9" spans="1:12" ht="15" x14ac:dyDescent="0.3">
      <c r="A9" s="5" t="s">
        <v>52</v>
      </c>
      <c r="B9" s="95" t="e">
        <f>IF(Input!C19="Yes",Input!D74*(1+MIN(0.05,Input!$C$28))/(Input!$C$40-Input!C38)*100,"N/A")</f>
        <v>#DIV/0!</v>
      </c>
      <c r="C9" s="6"/>
    </row>
    <row r="10" spans="1:12" ht="15" x14ac:dyDescent="0.3">
      <c r="A10" s="5" t="s">
        <v>53</v>
      </c>
      <c r="B10" s="63" t="e">
        <f>IF(Input!C19="Yes",(B9*Input!C40)/100,"N/A")</f>
        <v>#DIV/0!</v>
      </c>
      <c r="C10" s="7"/>
      <c r="F10" s="2"/>
      <c r="G10" s="2" t="str">
        <f>"Estimated Total EAV for "&amp;Input!C9&amp;" "</f>
        <v xml:space="preserve">Estimated Total EAV for 2025 </v>
      </c>
      <c r="H10" s="92">
        <f>Input!$C$40</f>
        <v>0</v>
      </c>
      <c r="I10" s="50" t="s">
        <v>35</v>
      </c>
    </row>
    <row r="11" spans="1:12" ht="15" x14ac:dyDescent="0.3">
      <c r="F11" s="2"/>
      <c r="G11" s="2" t="str">
        <f>"Estimated Total EAV % change for "&amp;Input!C9&amp;" "</f>
        <v xml:space="preserve">Estimated Total EAV % change for 2025 </v>
      </c>
      <c r="H11" s="90" t="e">
        <f>Input!$C$41</f>
        <v>#DIV/0!</v>
      </c>
      <c r="I11" s="50" t="s">
        <v>35</v>
      </c>
    </row>
    <row r="12" spans="1:12" ht="12.75" customHeight="1" x14ac:dyDescent="0.3">
      <c r="F12" s="295" t="str">
        <f>IF(Input!C19="Yes","Weighted Extension Based on Prior Year Extension","Individual Fund Estimated Maximum Extension")</f>
        <v>Weighted Extension Based on Prior Year Extension</v>
      </c>
      <c r="G12" s="295" t="str">
        <f>IF(Input!C19="Yes","Levy Amount $","Levy Amount $")</f>
        <v>Levy Amount $</v>
      </c>
      <c r="H12" s="293" t="s">
        <v>90</v>
      </c>
    </row>
    <row r="13" spans="1:12" ht="36" customHeight="1" x14ac:dyDescent="0.3">
      <c r="B13" s="8" t="s">
        <v>51</v>
      </c>
      <c r="C13" s="8" t="s">
        <v>77</v>
      </c>
      <c r="D13" s="8" t="str">
        <f>IF(Input!$C$21="no","Individual Fund Estimated Maximum Extension","Individual Fund Estimated Maximum Extension using Prior Year EAV")</f>
        <v>Individual Fund Estimated Maximum Extension</v>
      </c>
      <c r="F13" s="294"/>
      <c r="G13" s="294"/>
      <c r="H13" s="294"/>
      <c r="J13" s="9" t="s">
        <v>91</v>
      </c>
      <c r="K13" s="295" t="s">
        <v>79</v>
      </c>
      <c r="L13" s="295"/>
    </row>
    <row r="14" spans="1:12" ht="15" x14ac:dyDescent="0.3">
      <c r="A14" s="75" t="str">
        <f>Input!B50</f>
        <v xml:space="preserve">Corporate </v>
      </c>
      <c r="B14" s="59">
        <f>Input!D50</f>
        <v>0</v>
      </c>
      <c r="C14" s="206">
        <f>Input!C50</f>
        <v>0</v>
      </c>
      <c r="D14" s="59">
        <f>IF(Input!$C$21="no",C14*Input!$C$40,C14*($H$3+$H$8))/100</f>
        <v>0</v>
      </c>
      <c r="F14" s="59" t="e">
        <f>IF(Input!$C$19="Yes",B14/$B$39*$B$10,D14)</f>
        <v>#DIV/0!</v>
      </c>
      <c r="G14" s="55"/>
      <c r="H14" s="64"/>
      <c r="J14" s="59" t="e">
        <f>ROUNDUP(IF(G14="",F14*(1+H14),G14*(1+H14)),0)</f>
        <v>#DIV/0!</v>
      </c>
      <c r="K14" s="290" t="str">
        <f>IF(Input!$C$19="Yes","",IF(J14&gt;=D14,"YES","NO"))</f>
        <v/>
      </c>
      <c r="L14" s="291"/>
    </row>
    <row r="15" spans="1:12" ht="15" x14ac:dyDescent="0.3">
      <c r="A15" s="75" t="str">
        <f>Input!B51</f>
        <v xml:space="preserve">Police Protection </v>
      </c>
      <c r="B15" s="59">
        <f>Input!D51</f>
        <v>0</v>
      </c>
      <c r="C15" s="206">
        <f>Input!C51</f>
        <v>0</v>
      </c>
      <c r="D15" s="59">
        <f>IF(Input!$C$21="no",C15*Input!$C$40,C15*($H$3+$H$8))/100</f>
        <v>0</v>
      </c>
      <c r="F15" s="59" t="e">
        <f>IF(Input!$C$19="Yes",B15/$B$39*$B$10,D15)</f>
        <v>#DIV/0!</v>
      </c>
      <c r="G15" s="55"/>
      <c r="H15" s="64"/>
      <c r="J15" s="59" t="e">
        <f>ROUNDUP(IF(G15="",F15*(1+H15),G15*(1+H15)),0)</f>
        <v>#DIV/0!</v>
      </c>
      <c r="K15" s="290" t="str">
        <f>IF(Input!$C$19="Yes","",IF(J15&gt;=D15,"YES","NO"))</f>
        <v/>
      </c>
      <c r="L15" s="291"/>
    </row>
    <row r="16" spans="1:12" ht="15" x14ac:dyDescent="0.3">
      <c r="A16" s="75" t="str">
        <f>Input!B52</f>
        <v xml:space="preserve">Fire Protection </v>
      </c>
      <c r="B16" s="59">
        <f>Input!D52</f>
        <v>0</v>
      </c>
      <c r="C16" s="206">
        <f>Input!C52</f>
        <v>0</v>
      </c>
      <c r="D16" s="59">
        <f>IF(Input!$C$21="no",C16*Input!$C$40,C16*($H$3+$H$8))/100</f>
        <v>0</v>
      </c>
      <c r="F16" s="59" t="e">
        <f>IF(Input!$C$19="Yes",B16/$B$39*$B$10,D16)</f>
        <v>#DIV/0!</v>
      </c>
      <c r="G16" s="55"/>
      <c r="H16" s="64"/>
      <c r="J16" s="59" t="e">
        <f>ROUNDUP(IF(G16="",F16*(1+H16),G16*(1+H16)),0)</f>
        <v>#DIV/0!</v>
      </c>
      <c r="K16" s="290" t="str">
        <f>IF(Input!$C$19="Yes","",IF(J16&gt;=D16,"YES","NO"))</f>
        <v/>
      </c>
      <c r="L16" s="291"/>
    </row>
    <row r="17" spans="1:12" ht="15" x14ac:dyDescent="0.3">
      <c r="A17" s="75" t="str">
        <f>Input!B53</f>
        <v xml:space="preserve">Auditing </v>
      </c>
      <c r="B17" s="59">
        <f>Input!D53</f>
        <v>0</v>
      </c>
      <c r="C17" s="206">
        <f>Input!C53</f>
        <v>0</v>
      </c>
      <c r="D17" s="207" t="str">
        <f>IF(Input!C19="Yes","$0.00 ","Input in Manual Override")</f>
        <v xml:space="preserve">$0.00 </v>
      </c>
      <c r="F17" s="59" t="e">
        <f>IF(Input!$C$19="Yes",B17/$B$39*$B$10,"Levy Amount $ Required")</f>
        <v>#DIV/0!</v>
      </c>
      <c r="G17" s="55"/>
      <c r="H17" s="64"/>
      <c r="J17" s="59" t="e">
        <f t="shared" ref="J17:J21" si="0">ROUND(IF(G17="",F17*(1+H17),G17*(1+H17)),0)</f>
        <v>#DIV/0!</v>
      </c>
      <c r="K17" s="290" t="str">
        <f>IF(Input!$C$19="Yes"," ","N/A")</f>
        <v xml:space="preserve"> </v>
      </c>
      <c r="L17" s="291"/>
    </row>
    <row r="18" spans="1:12" ht="15" x14ac:dyDescent="0.3">
      <c r="A18" s="75" t="str">
        <f>Input!B54</f>
        <v xml:space="preserve">Municipal Retirement </v>
      </c>
      <c r="B18" s="59">
        <f>Input!D54</f>
        <v>0</v>
      </c>
      <c r="C18" s="206">
        <f>Input!C54</f>
        <v>0</v>
      </c>
      <c r="D18" s="207" t="str">
        <f>IF(Input!C20="Yes","$0.00 ","Input in Manual Override")</f>
        <v>Input in Manual Override</v>
      </c>
      <c r="F18" s="59" t="e">
        <f>IF(Input!$C$19="Yes",B18/$B$39*$B$10,"Levy Amount $ Required")</f>
        <v>#DIV/0!</v>
      </c>
      <c r="G18" s="55"/>
      <c r="H18" s="64"/>
      <c r="J18" s="59" t="e">
        <f t="shared" si="0"/>
        <v>#DIV/0!</v>
      </c>
      <c r="K18" s="290" t="str">
        <f>IF(Input!$C$19="Yes"," ","N/A")</f>
        <v xml:space="preserve"> </v>
      </c>
      <c r="L18" s="291"/>
    </row>
    <row r="19" spans="1:12" ht="15" x14ac:dyDescent="0.3">
      <c r="A19" s="75" t="str">
        <f>Input!B55</f>
        <v xml:space="preserve">Unemployment Insurance </v>
      </c>
      <c r="B19" s="59">
        <f>Input!D55</f>
        <v>0</v>
      </c>
      <c r="C19" s="206">
        <f>Input!C55</f>
        <v>0</v>
      </c>
      <c r="D19" s="207" t="str">
        <f>IF(Input!C21="Yes","$0.00 ","Input in Manual Override")</f>
        <v>Input in Manual Override</v>
      </c>
      <c r="F19" s="59" t="e">
        <f>IF(Input!$C$19="Yes",B19/$B$39*$B$10,"Levy Amount $ Required")</f>
        <v>#DIV/0!</v>
      </c>
      <c r="G19" s="55"/>
      <c r="H19" s="64"/>
      <c r="J19" s="59" t="e">
        <f t="shared" si="0"/>
        <v>#DIV/0!</v>
      </c>
      <c r="K19" s="290" t="str">
        <f>IF(Input!$C$19="Yes"," ","N/A")</f>
        <v xml:space="preserve"> </v>
      </c>
      <c r="L19" s="291"/>
    </row>
    <row r="20" spans="1:12" ht="15" x14ac:dyDescent="0.3">
      <c r="A20" s="75" t="str">
        <f>Input!B56</f>
        <v xml:space="preserve">Workman's Compensation </v>
      </c>
      <c r="B20" s="59">
        <f>Input!D56</f>
        <v>0</v>
      </c>
      <c r="C20" s="206">
        <f>Input!C56</f>
        <v>0</v>
      </c>
      <c r="D20" s="207" t="str">
        <f>IF(Input!C22="Yes","$0.00 ","Input in Manual Override")</f>
        <v>Input in Manual Override</v>
      </c>
      <c r="F20" s="59" t="e">
        <f>IF(Input!$C$19="Yes",B20/$B$39*$B$10,"Levy Amount $ Required")</f>
        <v>#DIV/0!</v>
      </c>
      <c r="G20" s="55"/>
      <c r="H20" s="64"/>
      <c r="J20" s="59" t="e">
        <f t="shared" si="0"/>
        <v>#DIV/0!</v>
      </c>
      <c r="K20" s="290" t="str">
        <f>IF(Input!$C$19="Yes"," ","N/A")</f>
        <v xml:space="preserve"> </v>
      </c>
      <c r="L20" s="291"/>
    </row>
    <row r="21" spans="1:12" ht="15" x14ac:dyDescent="0.3">
      <c r="A21" s="75" t="str">
        <f>Input!B57</f>
        <v xml:space="preserve">Social Security </v>
      </c>
      <c r="B21" s="59">
        <f>Input!D57</f>
        <v>0</v>
      </c>
      <c r="C21" s="206">
        <f>Input!C57</f>
        <v>0</v>
      </c>
      <c r="D21" s="207" t="str">
        <f>IF(Input!C23="Yes","$0.00 ","Input in Manual Override")</f>
        <v>Input in Manual Override</v>
      </c>
      <c r="F21" s="59" t="e">
        <f>IF(Input!$C$19="Yes",B21/$B$39*$B$10,"Levy Amount $ Required")</f>
        <v>#DIV/0!</v>
      </c>
      <c r="G21" s="55"/>
      <c r="H21" s="64"/>
      <c r="J21" s="59" t="e">
        <f t="shared" si="0"/>
        <v>#DIV/0!</v>
      </c>
      <c r="K21" s="290" t="str">
        <f>IF(Input!$C$19="Yes"," ","N/A")</f>
        <v xml:space="preserve"> </v>
      </c>
      <c r="L21" s="291"/>
    </row>
    <row r="22" spans="1:12" ht="15" x14ac:dyDescent="0.3">
      <c r="A22" s="75" t="str">
        <f>Input!B58</f>
        <v xml:space="preserve">Liability Insurance </v>
      </c>
      <c r="B22" s="59">
        <f>Input!D58</f>
        <v>0</v>
      </c>
      <c r="C22" s="206">
        <f>Input!C58</f>
        <v>0</v>
      </c>
      <c r="D22" s="207" t="str">
        <f>IF(Input!C24="Yes","$0.00 ","Input in Manual Override")</f>
        <v>Input in Manual Override</v>
      </c>
      <c r="F22" s="59" t="e">
        <f>IF(Input!$C$19="Yes",B22/$B$39*$B$10,"Levy Amount $ Required")</f>
        <v>#DIV/0!</v>
      </c>
      <c r="G22" s="55"/>
      <c r="H22" s="64"/>
      <c r="J22" s="59" t="e">
        <f>ROUNDUP(IF(G22="",F22*(1+H22),G22*(1+H22)),0)</f>
        <v>#DIV/0!</v>
      </c>
      <c r="K22" s="290" t="str">
        <f>IF(Input!$C$19="Yes"," ","N/A")</f>
        <v xml:space="preserve"> </v>
      </c>
      <c r="L22" s="291"/>
    </row>
    <row r="23" spans="1:12" ht="15" x14ac:dyDescent="0.3">
      <c r="A23" s="75" t="str">
        <f>Input!B59</f>
        <v xml:space="preserve">Police Pension </v>
      </c>
      <c r="B23" s="59">
        <f>Input!D59</f>
        <v>0</v>
      </c>
      <c r="C23" s="206">
        <f>Input!C59</f>
        <v>0</v>
      </c>
      <c r="D23" s="207" t="str">
        <f>IF(Input!C25="Yes","$0.00 ","Input in Manual Override")</f>
        <v>Input in Manual Override</v>
      </c>
      <c r="F23" s="59" t="e">
        <f>IF(Input!$C$19="Yes",B23/$B$39*$B$10,"Levy Amount $ Required")</f>
        <v>#DIV/0!</v>
      </c>
      <c r="G23" s="55"/>
      <c r="H23" s="64"/>
      <c r="J23" s="59" t="e">
        <f t="shared" ref="J23:J24" si="1">ROUNDUP(IF(G23="",F23*(1+H23),G23*(1+H23)),0)</f>
        <v>#DIV/0!</v>
      </c>
      <c r="K23" s="290" t="str">
        <f>IF(Input!$C$19="Yes"," ","N/A")</f>
        <v xml:space="preserve"> </v>
      </c>
      <c r="L23" s="291"/>
    </row>
    <row r="24" spans="1:12" ht="15" x14ac:dyDescent="0.3">
      <c r="A24" s="75" t="str">
        <f>Input!B60</f>
        <v xml:space="preserve">Fire Pension </v>
      </c>
      <c r="B24" s="59">
        <f>Input!D60</f>
        <v>0</v>
      </c>
      <c r="C24" s="206">
        <f>Input!C60</f>
        <v>0</v>
      </c>
      <c r="D24" s="207" t="str">
        <f>IF(Input!C26="Yes","$0.00 ","Input in Manual Override")</f>
        <v>Input in Manual Override</v>
      </c>
      <c r="F24" s="59" t="e">
        <f>IF(Input!$C$19="Yes",B24/$B$39*$B$10,"Levy Amount $ Required")</f>
        <v>#DIV/0!</v>
      </c>
      <c r="G24" s="55"/>
      <c r="H24" s="64"/>
      <c r="J24" s="59" t="e">
        <f t="shared" si="1"/>
        <v>#DIV/0!</v>
      </c>
      <c r="K24" s="290" t="str">
        <f>IF(Input!$C$19="Yes"," ","N/A")</f>
        <v xml:space="preserve"> </v>
      </c>
      <c r="L24" s="291"/>
    </row>
    <row r="25" spans="1:12" ht="15" x14ac:dyDescent="0.3">
      <c r="A25" s="75" t="str">
        <f>Input!B61</f>
        <v xml:space="preserve">Waterworks </v>
      </c>
      <c r="B25" s="59">
        <f>Input!D61</f>
        <v>0</v>
      </c>
      <c r="C25" s="206">
        <f>Input!C61</f>
        <v>0</v>
      </c>
      <c r="D25" s="59">
        <f>IF(Input!$C$21="no",C25*Input!$C$40,C25*($H$3+$H$8))/100</f>
        <v>0</v>
      </c>
      <c r="F25" s="59" t="e">
        <f>IF(Input!$C$19="Yes",B25/$B$39*$B$10,D25)</f>
        <v>#DIV/0!</v>
      </c>
      <c r="G25" s="55"/>
      <c r="H25" s="64"/>
      <c r="J25" s="59" t="e">
        <f>ROUNDUP(IF(G25="",F25*(1+H25),G25*(1+H25)),0)</f>
        <v>#DIV/0!</v>
      </c>
      <c r="K25" s="290" t="str">
        <f>IF(Input!$C$19="Yes","",IF(J25&gt;=D25,"YES","NO"))</f>
        <v/>
      </c>
      <c r="L25" s="291"/>
    </row>
    <row r="26" spans="1:12" ht="15" x14ac:dyDescent="0.3">
      <c r="A26" s="75" t="str">
        <f>Input!B62</f>
        <v xml:space="preserve">Street &amp; Bridge </v>
      </c>
      <c r="B26" s="59">
        <f>Input!D62</f>
        <v>0</v>
      </c>
      <c r="C26" s="206">
        <f>Input!C62</f>
        <v>0</v>
      </c>
      <c r="D26" s="59">
        <f>IF(Input!$C$21="no",C26*Input!$C$40,C26*($H$3+$H$8))/100</f>
        <v>0</v>
      </c>
      <c r="F26" s="59" t="e">
        <f>IF(Input!$C$19="Yes",B26/$B$39*$B$10,D26)</f>
        <v>#DIV/0!</v>
      </c>
      <c r="G26" s="55"/>
      <c r="H26" s="64"/>
      <c r="J26" s="59" t="e">
        <f t="shared" ref="J26:J35" si="2">ROUNDUP(IF(G26="",F26*(1+H26),G26*(1+H26)),0)</f>
        <v>#DIV/0!</v>
      </c>
      <c r="K26" s="290" t="str">
        <f>IF(Input!$C$19="Yes","",IF(J26&gt;=D26,"YES","NO"))</f>
        <v/>
      </c>
      <c r="L26" s="291"/>
    </row>
    <row r="27" spans="1:12" ht="15" x14ac:dyDescent="0.3">
      <c r="A27" s="75" t="str">
        <f>Input!B63</f>
        <v xml:space="preserve">Playgrounds &amp; Rec </v>
      </c>
      <c r="B27" s="59">
        <f>Input!D63</f>
        <v>0</v>
      </c>
      <c r="C27" s="206">
        <f>Input!C63</f>
        <v>0</v>
      </c>
      <c r="D27" s="59">
        <f>IF(Input!$C$21="no",C27*Input!$C$40,C27*($H$3+$H$8))/100</f>
        <v>0</v>
      </c>
      <c r="F27" s="59" t="e">
        <f>IF(Input!$C$19="Yes",B27/$B$39*$B$10,D27)</f>
        <v>#DIV/0!</v>
      </c>
      <c r="G27" s="55"/>
      <c r="H27" s="64"/>
      <c r="J27" s="59" t="e">
        <f t="shared" si="2"/>
        <v>#DIV/0!</v>
      </c>
      <c r="K27" s="290" t="str">
        <f>IF(Input!$C$19="Yes","",IF(J27&gt;=D27,"YES","NO"))</f>
        <v/>
      </c>
      <c r="L27" s="291"/>
    </row>
    <row r="28" spans="1:12" ht="15" x14ac:dyDescent="0.3">
      <c r="A28" s="75" t="str">
        <f>Input!B64</f>
        <v xml:space="preserve">Civil Defense </v>
      </c>
      <c r="B28" s="59">
        <f>Input!D64</f>
        <v>0</v>
      </c>
      <c r="C28" s="206">
        <f>Input!C64</f>
        <v>0</v>
      </c>
      <c r="D28" s="59">
        <f>IF(Input!$C$21="no",C28*Input!$C$40,C28*($H$3+$H$8))/100</f>
        <v>0</v>
      </c>
      <c r="F28" s="59" t="e">
        <f>IF(Input!$C$19="Yes",B28/$B$39*$B$10,D28)</f>
        <v>#DIV/0!</v>
      </c>
      <c r="G28" s="55"/>
      <c r="H28" s="64"/>
      <c r="J28" s="59" t="e">
        <f t="shared" si="2"/>
        <v>#DIV/0!</v>
      </c>
      <c r="K28" s="290" t="str">
        <f>IF(Input!$C$19="Yes","",IF(J28&gt;=D28,"YES","NO"))</f>
        <v/>
      </c>
      <c r="L28" s="291"/>
    </row>
    <row r="29" spans="1:12" ht="15" x14ac:dyDescent="0.3">
      <c r="A29" s="75" t="str">
        <f>Input!B65</f>
        <v xml:space="preserve">Garbage </v>
      </c>
      <c r="B29" s="59">
        <f>Input!D65</f>
        <v>0</v>
      </c>
      <c r="C29" s="206">
        <f>Input!C65</f>
        <v>0</v>
      </c>
      <c r="D29" s="59">
        <f>IF(Input!$C$21="no",C29*Input!$C$40,C29*($H$3+$H$8))/100</f>
        <v>0</v>
      </c>
      <c r="F29" s="59" t="e">
        <f>IF(Input!$C$19="Yes",B29/$B$39*$B$10,D29)</f>
        <v>#DIV/0!</v>
      </c>
      <c r="G29" s="55"/>
      <c r="H29" s="64"/>
      <c r="J29" s="59" t="e">
        <f t="shared" si="2"/>
        <v>#DIV/0!</v>
      </c>
      <c r="K29" s="290" t="str">
        <f>IF(Input!$C$19="Yes","",IF(J29&gt;=D29,"YES","NO"))</f>
        <v/>
      </c>
      <c r="L29" s="291"/>
    </row>
    <row r="30" spans="1:12" ht="15" x14ac:dyDescent="0.3">
      <c r="A30" s="75" t="str">
        <f>Input!B66</f>
        <v xml:space="preserve">Street Lighting </v>
      </c>
      <c r="B30" s="59">
        <f>Input!D66</f>
        <v>0</v>
      </c>
      <c r="C30" s="206">
        <f>Input!C66</f>
        <v>0</v>
      </c>
      <c r="D30" s="59">
        <f>IF(Input!$C$21="no",C30*Input!$C$40,C30*($H$3+$H$8))/100</f>
        <v>0</v>
      </c>
      <c r="F30" s="59" t="e">
        <f>IF(Input!$C$19="Yes",B30/$B$39*$B$10,D30)</f>
        <v>#DIV/0!</v>
      </c>
      <c r="G30" s="55"/>
      <c r="H30" s="64"/>
      <c r="J30" s="59" t="e">
        <f t="shared" si="2"/>
        <v>#DIV/0!</v>
      </c>
      <c r="K30" s="290" t="str">
        <f>IF(Input!$C$19="Yes","",IF(J30&gt;=D30,"YES","NO"))</f>
        <v/>
      </c>
      <c r="L30" s="291"/>
    </row>
    <row r="31" spans="1:12" ht="15" x14ac:dyDescent="0.3">
      <c r="A31" s="75" t="str">
        <f>Input!B67</f>
        <v xml:space="preserve">Custom 1 </v>
      </c>
      <c r="B31" s="59">
        <f>Input!D67</f>
        <v>0</v>
      </c>
      <c r="C31" s="206">
        <f>Input!C67</f>
        <v>0</v>
      </c>
      <c r="D31" s="59">
        <f>IF(Input!$C$21="no",C31*Input!$C$40,C31*($H$3+$H$8))/100</f>
        <v>0</v>
      </c>
      <c r="F31" s="59" t="e">
        <f>IF(Input!$C$19="Yes",B31/$B$39*$B$10,D31)</f>
        <v>#DIV/0!</v>
      </c>
      <c r="G31" s="55"/>
      <c r="H31" s="64"/>
      <c r="J31" s="59" t="e">
        <f t="shared" si="2"/>
        <v>#DIV/0!</v>
      </c>
      <c r="K31" s="290" t="str">
        <f>IF(Input!$C$19="Yes","",IF(J31&gt;=D31,"YES","NO"))</f>
        <v/>
      </c>
      <c r="L31" s="291"/>
    </row>
    <row r="32" spans="1:12" ht="15" x14ac:dyDescent="0.3">
      <c r="A32" s="75" t="str">
        <f>Input!B68</f>
        <v xml:space="preserve">Custom 2 </v>
      </c>
      <c r="B32" s="59">
        <f>Input!D68</f>
        <v>0</v>
      </c>
      <c r="C32" s="206">
        <f>Input!C68</f>
        <v>0</v>
      </c>
      <c r="D32" s="59">
        <f>IF(Input!$C$21="no",C32*Input!$C$40,C32*($H$3+$H$8))/100</f>
        <v>0</v>
      </c>
      <c r="F32" s="59" t="e">
        <f>IF(Input!$C$19="Yes",B32/$B$39*$B$10,D32)</f>
        <v>#DIV/0!</v>
      </c>
      <c r="G32" s="55"/>
      <c r="H32" s="64"/>
      <c r="J32" s="59" t="e">
        <f t="shared" si="2"/>
        <v>#DIV/0!</v>
      </c>
      <c r="K32" s="290" t="str">
        <f>IF(Input!$C$19="Yes","",IF(J32&gt;=D32,"YES","NO"))</f>
        <v/>
      </c>
      <c r="L32" s="291"/>
    </row>
    <row r="33" spans="1:12" ht="15" x14ac:dyDescent="0.3">
      <c r="A33" s="75" t="str">
        <f>Input!B69</f>
        <v xml:space="preserve">Custom 3 </v>
      </c>
      <c r="B33" s="59">
        <f>Input!D69</f>
        <v>0</v>
      </c>
      <c r="C33" s="206">
        <f>Input!C69</f>
        <v>0</v>
      </c>
      <c r="D33" s="59">
        <f>IF(Input!$C$21="no",C33*Input!$C$40,C33*($H$3+$H$8))/100</f>
        <v>0</v>
      </c>
      <c r="F33" s="59" t="e">
        <f>IF(Input!$C$19="Yes",B33/$B$39*$B$10,D33)</f>
        <v>#DIV/0!</v>
      </c>
      <c r="G33" s="55"/>
      <c r="H33" s="64"/>
      <c r="J33" s="59" t="e">
        <f t="shared" ref="J33:J34" si="3">ROUNDUP(IF(G33="",F33*(1+H33),G33*(1+H33)),0)</f>
        <v>#DIV/0!</v>
      </c>
      <c r="K33" s="290" t="str">
        <f>IF(Input!$C$19="Yes","",IF(J33&gt;=D33,"YES","NO"))</f>
        <v/>
      </c>
      <c r="L33" s="291"/>
    </row>
    <row r="34" spans="1:12" ht="15" x14ac:dyDescent="0.3">
      <c r="A34" s="75" t="str">
        <f>Input!B70</f>
        <v xml:space="preserve">Custom 4 </v>
      </c>
      <c r="B34" s="59">
        <f>Input!D70</f>
        <v>0</v>
      </c>
      <c r="C34" s="206">
        <f>Input!C70</f>
        <v>0</v>
      </c>
      <c r="D34" s="59">
        <f>IF(Input!$C$21="no",C34*Input!$C$40,C34*($H$3+$H$8))/100</f>
        <v>0</v>
      </c>
      <c r="F34" s="59" t="e">
        <f>IF(Input!$C$19="Yes",B34/$B$39*$B$10,D34)</f>
        <v>#DIV/0!</v>
      </c>
      <c r="G34" s="55"/>
      <c r="H34" s="64"/>
      <c r="J34" s="59" t="e">
        <f t="shared" si="3"/>
        <v>#DIV/0!</v>
      </c>
      <c r="K34" s="290" t="str">
        <f>IF(Input!$C$19="Yes","",IF(J34&gt;=D34,"YES","NO"))</f>
        <v/>
      </c>
      <c r="L34" s="291"/>
    </row>
    <row r="35" spans="1:12" ht="15" x14ac:dyDescent="0.3">
      <c r="A35" s="75" t="str">
        <f>Input!B71</f>
        <v>Custom 4 (No Max Rate)</v>
      </c>
      <c r="B35" s="59">
        <f>Input!D71</f>
        <v>0</v>
      </c>
      <c r="C35" s="206">
        <f>Input!C71</f>
        <v>0</v>
      </c>
      <c r="D35" s="241" t="str">
        <f>IF(Input!C35="Yes","$0.00 ","Input in Manual Override")</f>
        <v>Input in Manual Override</v>
      </c>
      <c r="F35" s="59" t="e">
        <f>IF(Input!$C$19="Yes",B35/$B$39*$B$10,"Levy Amount $ Required")</f>
        <v>#DIV/0!</v>
      </c>
      <c r="G35" s="55"/>
      <c r="H35" s="64"/>
      <c r="J35" s="59" t="e">
        <f t="shared" si="2"/>
        <v>#DIV/0!</v>
      </c>
      <c r="K35" s="290" t="str">
        <f>IF(Input!$C$19="Yes"," ","N/A")</f>
        <v xml:space="preserve"> </v>
      </c>
      <c r="L35" s="291"/>
    </row>
    <row r="36" spans="1:12" ht="15" x14ac:dyDescent="0.3">
      <c r="A36" s="75" t="str">
        <f>Input!B72</f>
        <v>Custom 5 (No Max Rate)</v>
      </c>
      <c r="B36" s="59">
        <f>Input!D72</f>
        <v>0</v>
      </c>
      <c r="C36" s="206">
        <f>Input!C72</f>
        <v>0</v>
      </c>
      <c r="D36" s="241" t="str">
        <f>IF(Input!C36="Yes","$0.00 ","Input in Manual Override")</f>
        <v>Input in Manual Override</v>
      </c>
      <c r="F36" s="59" t="e">
        <f>IF(Input!$C$19="Yes",B36/$B$39*$B$10,"Levy Amount $ Required")</f>
        <v>#DIV/0!</v>
      </c>
      <c r="G36" s="55"/>
      <c r="H36" s="64"/>
      <c r="J36" s="59" t="e">
        <f t="shared" ref="J36" si="4">ROUNDUP(IF(G36="",F36*(1+H36),G36*(1+H36)),0)</f>
        <v>#DIV/0!</v>
      </c>
      <c r="K36" s="290" t="str">
        <f>IF(Input!$C$19="Yes"," ","N/A")</f>
        <v xml:space="preserve"> </v>
      </c>
      <c r="L36" s="291"/>
    </row>
    <row r="37" spans="1:12" s="73" customFormat="1" ht="8.25" customHeight="1" x14ac:dyDescent="0.3">
      <c r="A37" s="75"/>
      <c r="B37" s="122"/>
      <c r="C37" s="123"/>
      <c r="D37" s="122"/>
      <c r="F37" s="122"/>
      <c r="G37" s="124"/>
      <c r="H37" s="125"/>
      <c r="J37" s="122"/>
    </row>
    <row r="38" spans="1:12" ht="21" customHeight="1" thickBot="1" x14ac:dyDescent="0.35">
      <c r="B38" s="3"/>
      <c r="C38" s="3"/>
      <c r="K38" s="298" t="s">
        <v>6</v>
      </c>
      <c r="L38" s="298"/>
    </row>
    <row r="39" spans="1:12" ht="15.5" thickBot="1" x14ac:dyDescent="0.35">
      <c r="A39" s="2" t="str">
        <f>IF(Input!C19="Yes","Capped Extension ","Extension  ")</f>
        <v xml:space="preserve">Capped Extension </v>
      </c>
      <c r="B39" s="62">
        <f>SUM(B14:B35)</f>
        <v>0</v>
      </c>
      <c r="C39" s="128"/>
      <c r="D39" s="129">
        <f>SUM(D14:D35)</f>
        <v>0</v>
      </c>
      <c r="F39" s="65" t="e">
        <f>SUM(F14:F35)</f>
        <v>#DIV/0!</v>
      </c>
      <c r="G39" s="129">
        <f>SUM(G14:G38)</f>
        <v>0</v>
      </c>
      <c r="I39" s="2" t="str">
        <f>IF(Input!C19="Yes","Capped Levy ","Operating Levy ")</f>
        <v xml:space="preserve">Capped Levy </v>
      </c>
      <c r="J39" s="208" t="e">
        <f>SUM(J14:J36)</f>
        <v>#DIV/0!</v>
      </c>
      <c r="K39" s="209" t="e">
        <f>IF(Input!C19="YES",(Calculations!J39+Calculations!J43+Calculations!J45)/(Calculations!B39+Calculations!B43+Calculations!B45)-1,(Calculations!J39+Calculations!J43)/(Calculations!B39+Calculations!B43)-1)</f>
        <v>#DIV/0!</v>
      </c>
      <c r="L39" s="121" t="e">
        <f>IF(K39&gt;0.05,"YES","NO")</f>
        <v>#DIV/0!</v>
      </c>
    </row>
    <row r="40" spans="1:12" ht="15.5" thickBot="1" x14ac:dyDescent="0.35">
      <c r="A40" s="2"/>
      <c r="J40" s="76"/>
      <c r="K40" s="296" t="s">
        <v>78</v>
      </c>
      <c r="L40" s="296"/>
    </row>
    <row r="41" spans="1:12" ht="15.5" thickBot="1" x14ac:dyDescent="0.35">
      <c r="A41" s="2"/>
      <c r="G41" s="73"/>
      <c r="H41" s="73"/>
      <c r="I41" s="75" t="e">
        <f>IF(J41&lt;0,"Levy Amount Below Estimated Extension ","Levy Amount Above Estimated Extension ")</f>
        <v>#DIV/0!</v>
      </c>
      <c r="J41" s="66" t="e">
        <f>IF(Input!C19="Yes",J39-B10,"N/A")</f>
        <v>#DIV/0!</v>
      </c>
    </row>
    <row r="42" spans="1:12" ht="15.5" thickBot="1" x14ac:dyDescent="0.35">
      <c r="A42" s="2"/>
      <c r="D42" s="2" t="s">
        <v>96</v>
      </c>
      <c r="F42" s="135"/>
      <c r="G42" s="127" t="str">
        <f>IF(F42&gt;4%," ALERT - Special Recreation Rate Can Not Exceed 4%","")</f>
        <v/>
      </c>
      <c r="H42" s="127"/>
      <c r="I42" s="127"/>
      <c r="J42" s="127"/>
    </row>
    <row r="43" spans="1:12" ht="15.5" thickBot="1" x14ac:dyDescent="0.35">
      <c r="A43" s="2" t="s">
        <v>93</v>
      </c>
      <c r="B43" s="62">
        <f>Input!D76</f>
        <v>0</v>
      </c>
      <c r="C43" s="50"/>
      <c r="D43" s="2" t="s">
        <v>97</v>
      </c>
      <c r="F43" s="59" t="str">
        <f>IF(F$42="","",H10*(MIN(F42,4%))/100)</f>
        <v/>
      </c>
      <c r="G43" s="60"/>
      <c r="H43" s="52"/>
      <c r="I43" s="2"/>
      <c r="J43" s="243">
        <f>G43</f>
        <v>0</v>
      </c>
      <c r="K43" s="52"/>
    </row>
    <row r="44" spans="1:12" ht="19.5" customHeight="1" thickBot="1" x14ac:dyDescent="0.35">
      <c r="A44" s="2"/>
      <c r="G44" s="126"/>
    </row>
    <row r="45" spans="1:12" ht="15.5" thickBot="1" x14ac:dyDescent="0.35">
      <c r="A45" s="2" t="str">
        <f>Input!B78</f>
        <v>Custom Non-PTELL</v>
      </c>
      <c r="B45" s="62">
        <f>Input!D78</f>
        <v>0</v>
      </c>
      <c r="F45" s="2" t="str">
        <f>"Estimated "&amp; Input!B78 &amp;" Levy"</f>
        <v>Estimated Custom Non-PTELL Levy</v>
      </c>
      <c r="G45" s="60"/>
      <c r="I45" s="47" t="str">
        <f>Input!B78&amp;" Levy"</f>
        <v>Custom Non-PTELL Levy</v>
      </c>
      <c r="J45" s="243">
        <f>G45</f>
        <v>0</v>
      </c>
    </row>
    <row r="46" spans="1:12" ht="19.5" customHeight="1" thickBot="1" x14ac:dyDescent="0.35">
      <c r="A46" s="2"/>
      <c r="G46" s="126"/>
    </row>
    <row r="47" spans="1:12" ht="15.5" thickBot="1" x14ac:dyDescent="0.35">
      <c r="A47" s="2" t="s">
        <v>81</v>
      </c>
      <c r="B47" s="62">
        <f>Input!D80</f>
        <v>0</v>
      </c>
      <c r="C47" s="10"/>
      <c r="F47" s="2" t="s">
        <v>54</v>
      </c>
      <c r="G47" s="60"/>
      <c r="H47" s="50"/>
      <c r="I47" s="2" t="s">
        <v>87</v>
      </c>
      <c r="J47" s="188">
        <f>G47</f>
        <v>0</v>
      </c>
      <c r="K47" s="209" t="e">
        <f>J47/B47-1</f>
        <v>#DIV/0!</v>
      </c>
    </row>
    <row r="48" spans="1:12" ht="15" x14ac:dyDescent="0.3">
      <c r="A48" s="2"/>
      <c r="B48" s="194"/>
      <c r="C48" s="4"/>
      <c r="D48" s="4"/>
      <c r="G48" s="126" t="s">
        <v>167</v>
      </c>
      <c r="I48" s="2"/>
      <c r="J48" s="76"/>
      <c r="K48" s="12"/>
    </row>
    <row r="49" spans="1:11" ht="15.5" thickBot="1" x14ac:dyDescent="0.35">
      <c r="A49" s="2"/>
      <c r="B49" s="193"/>
      <c r="C49" s="4"/>
      <c r="D49" s="4"/>
      <c r="G49" s="126"/>
      <c r="K49" s="12"/>
    </row>
    <row r="50" spans="1:11" ht="15.5" thickBot="1" x14ac:dyDescent="0.35">
      <c r="A50" s="2" t="s">
        <v>82</v>
      </c>
      <c r="B50" s="62">
        <f>IF(Input!C19="Yes",B39+B47+B43+B45,B39+B47+B43)</f>
        <v>0</v>
      </c>
      <c r="C50" s="10"/>
      <c r="I50" s="2" t="s">
        <v>55</v>
      </c>
      <c r="J50" s="62" t="e">
        <f>IF(Input!C$19="Yes",J39+J47+J43+J45,J39+J47+J43)</f>
        <v>#DIV/0!</v>
      </c>
      <c r="K50" s="209" t="e">
        <f>J50/B50-1</f>
        <v>#DIV/0!</v>
      </c>
    </row>
    <row r="51" spans="1:11" ht="15" x14ac:dyDescent="0.3">
      <c r="C51" s="3"/>
      <c r="I51" s="2"/>
      <c r="J51" s="76"/>
    </row>
    <row r="52" spans="1:11" ht="4.5" customHeight="1" x14ac:dyDescent="0.3">
      <c r="C52" s="3"/>
    </row>
    <row r="53" spans="1:11" hidden="1" x14ac:dyDescent="0.3">
      <c r="C53" s="3"/>
    </row>
  </sheetData>
  <sheetProtection algorithmName="SHA-512" hashValue="0HQGUJOHA1tJ6w1xi10OH89j4nEGrezyAIW+TeHCoXcfOh0QJ2qqc5XSiUAnGMnVThft27yYKBC1pPxmBLzcJg==" saltValue="icOsfClWbfKyMWF37jKHvA==" spinCount="100000" sheet="1" objects="1" scenarios="1"/>
  <mergeCells count="37">
    <mergeCell ref="K34:L34"/>
    <mergeCell ref="K33:L33"/>
    <mergeCell ref="K36:L36"/>
    <mergeCell ref="K32:L32"/>
    <mergeCell ref="K40:L40"/>
    <mergeCell ref="J1:L1"/>
    <mergeCell ref="K38:L38"/>
    <mergeCell ref="K22:L22"/>
    <mergeCell ref="K35:L35"/>
    <mergeCell ref="K17:L17"/>
    <mergeCell ref="K20:L20"/>
    <mergeCell ref="K21:L21"/>
    <mergeCell ref="K13:L13"/>
    <mergeCell ref="K14:L14"/>
    <mergeCell ref="K15:L15"/>
    <mergeCell ref="K18:L18"/>
    <mergeCell ref="K19:L19"/>
    <mergeCell ref="K31:L31"/>
    <mergeCell ref="K16:L16"/>
    <mergeCell ref="B6:D6"/>
    <mergeCell ref="H12:H13"/>
    <mergeCell ref="F12:F13"/>
    <mergeCell ref="G12:G13"/>
    <mergeCell ref="K28:L28"/>
    <mergeCell ref="K29:L29"/>
    <mergeCell ref="K30:L30"/>
    <mergeCell ref="K23:L23"/>
    <mergeCell ref="K24:L24"/>
    <mergeCell ref="K25:L25"/>
    <mergeCell ref="K26:L26"/>
    <mergeCell ref="K27:L27"/>
    <mergeCell ref="A5:A6"/>
    <mergeCell ref="J2:L2"/>
    <mergeCell ref="J3:L3"/>
    <mergeCell ref="J4:L4"/>
    <mergeCell ref="A2:B2"/>
    <mergeCell ref="B5:D5"/>
  </mergeCells>
  <phoneticPr fontId="3" type="noConversion"/>
  <conditionalFormatting sqref="A5:B5 B6">
    <cfRule type="expression" dxfId="183" priority="108" stopIfTrue="1">
      <formula>$B$9="N/A"</formula>
    </cfRule>
  </conditionalFormatting>
  <conditionalFormatting sqref="A9:B10">
    <cfRule type="expression" dxfId="182" priority="109" stopIfTrue="1">
      <formula>$B$9="N/A"</formula>
    </cfRule>
  </conditionalFormatting>
  <conditionalFormatting sqref="G41:I41">
    <cfRule type="expression" dxfId="173" priority="95">
      <formula>$J$41&lt;0</formula>
    </cfRule>
  </conditionalFormatting>
  <conditionalFormatting sqref="G42:J42">
    <cfRule type="expression" dxfId="171" priority="27">
      <formula>$F$42&gt;4%</formula>
    </cfRule>
  </conditionalFormatting>
  <conditionalFormatting sqref="J41">
    <cfRule type="cellIs" dxfId="168" priority="106" stopIfTrue="1" operator="lessThan">
      <formula>0</formula>
    </cfRule>
  </conditionalFormatting>
  <conditionalFormatting sqref="K17:K24">
    <cfRule type="expression" dxfId="166" priority="33">
      <formula>$K$17="N/A"</formula>
    </cfRule>
  </conditionalFormatting>
  <conditionalFormatting sqref="K35:K36">
    <cfRule type="expression" dxfId="165" priority="2">
      <formula>$K$17="N/A"</formula>
    </cfRule>
  </conditionalFormatting>
  <conditionalFormatting sqref="K40">
    <cfRule type="expression" dxfId="164" priority="93">
      <formula>$L$39="No"</formula>
    </cfRule>
  </conditionalFormatting>
  <conditionalFormatting sqref="K14:L16">
    <cfRule type="expression" dxfId="163" priority="21">
      <formula>$K14="YES"</formula>
    </cfRule>
    <cfRule type="expression" dxfId="162" priority="22">
      <formula>$K14="NO"</formula>
    </cfRule>
  </conditionalFormatting>
  <conditionalFormatting sqref="K25:L34">
    <cfRule type="expression" dxfId="161" priority="3">
      <formula>$K25="YES"</formula>
    </cfRule>
    <cfRule type="expression" dxfId="160" priority="4">
      <formula>$K25="NO"</formula>
    </cfRule>
  </conditionalFormatting>
  <conditionalFormatting sqref="L39">
    <cfRule type="cellIs" dxfId="159" priority="107" stopIfTrue="1" operator="equal">
      <formula>"YES"</formula>
    </cfRule>
  </conditionalFormatting>
  <pageMargins left="0.4" right="0.4" top="0.73" bottom="0.79" header="0.5" footer="0.49"/>
  <pageSetup scale="70"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stopIfTrue="1" id="{EA048A88-1971-4F96-B109-72F2B081F742}">
            <xm:f>Input!$C$19="No"</xm:f>
            <x14:dxf>
              <font>
                <color theme="0"/>
              </font>
              <fill>
                <patternFill patternType="none">
                  <bgColor auto="1"/>
                </patternFill>
              </fill>
              <border>
                <left/>
                <right/>
                <top/>
                <bottom/>
                <vertical/>
                <horizontal/>
              </border>
            </x14:dxf>
          </x14:cfRule>
          <xm:sqref>A45:L45</xm:sqref>
        </x14:conditionalFormatting>
        <x14:conditionalFormatting xmlns:xm="http://schemas.microsoft.com/office/excel/2006/main">
          <x14:cfRule type="expression" priority="156" id="{8EFC974D-C4A9-4516-8B16-FB9DE2D29F54}">
            <xm:f>Input!#REF!="N/A"</xm:f>
            <x14:dxf>
              <fill>
                <patternFill>
                  <bgColor theme="1"/>
                </patternFill>
              </fill>
            </x14:dxf>
          </x14:cfRule>
          <xm:sqref>C17:C21</xm:sqref>
        </x14:conditionalFormatting>
        <x14:conditionalFormatting xmlns:xm="http://schemas.microsoft.com/office/excel/2006/main">
          <x14:cfRule type="expression" priority="96" id="{AFC2C999-DD89-4C2F-97EF-46D1B224C6D4}">
            <xm:f>Input!$C$19="Yes"</xm:f>
            <x14:dxf>
              <font>
                <color theme="0"/>
              </font>
              <fill>
                <patternFill>
                  <bgColor theme="0"/>
                </patternFill>
              </fill>
              <border>
                <left/>
                <right/>
                <top/>
                <bottom/>
                <vertical/>
                <horizontal/>
              </border>
            </x14:dxf>
          </x14:cfRule>
          <xm:sqref>D39</xm:sqref>
        </x14:conditionalFormatting>
        <x14:conditionalFormatting xmlns:xm="http://schemas.microsoft.com/office/excel/2006/main">
          <x14:cfRule type="expression" priority="88" id="{7CB6334F-FA46-45F7-BE39-DBC48A053A53}">
            <xm:f>Input!$C$19="No"</xm:f>
            <x14:dxf>
              <font>
                <color theme="0"/>
              </font>
              <fill>
                <patternFill>
                  <bgColor theme="0"/>
                </patternFill>
              </fill>
              <border>
                <left/>
                <right/>
                <top/>
                <bottom/>
                <vertical/>
                <horizontal/>
              </border>
            </x14:dxf>
          </x14:cfRule>
          <xm:sqref>F39</xm:sqref>
        </x14:conditionalFormatting>
        <x14:conditionalFormatting xmlns:xm="http://schemas.microsoft.com/office/excel/2006/main">
          <x14:cfRule type="expression" priority="26" id="{DB27CF73-9C9C-48B7-87FF-523DDF390DDF}">
            <xm:f>Input!$C$19="No"</xm:f>
            <x14:dxf>
              <font>
                <color theme="0"/>
              </font>
              <fill>
                <patternFill patternType="none">
                  <bgColor auto="1"/>
                </patternFill>
              </fill>
              <border>
                <left/>
                <right/>
                <top/>
                <bottom/>
                <vertical/>
                <horizontal/>
              </border>
            </x14:dxf>
          </x14:cfRule>
          <xm:sqref>F8:H8</xm:sqref>
        </x14:conditionalFormatting>
        <x14:conditionalFormatting xmlns:xm="http://schemas.microsoft.com/office/excel/2006/main">
          <x14:cfRule type="expression" priority="90" id="{656AB4A6-6A36-44E4-90CE-14540CD05FFC}">
            <xm:f>Input!$C$19="No"</xm:f>
            <x14:dxf>
              <font>
                <color theme="0"/>
              </font>
            </x14:dxf>
          </x14:cfRule>
          <xm:sqref>G2</xm:sqref>
        </x14:conditionalFormatting>
        <x14:conditionalFormatting xmlns:xm="http://schemas.microsoft.com/office/excel/2006/main">
          <x14:cfRule type="expression" priority="89" id="{9A6FF348-BDC9-4975-B2E6-12B961D4AA49}">
            <xm:f>Input!$C$19="Yes"</xm:f>
            <x14:dxf>
              <font>
                <color theme="0"/>
              </font>
              <fill>
                <patternFill>
                  <bgColor theme="0"/>
                </patternFill>
              </fill>
              <border>
                <left style="thin">
                  <color auto="1"/>
                </left>
                <right/>
                <top/>
                <bottom/>
                <vertical/>
                <horizontal/>
              </border>
            </x14:dxf>
          </x14:cfRule>
          <xm:sqref>G39</xm:sqref>
        </x14:conditionalFormatting>
        <x14:conditionalFormatting xmlns:xm="http://schemas.microsoft.com/office/excel/2006/main">
          <x14:cfRule type="expression" priority="44" id="{4EF76B04-FFE1-4582-B749-370F859FD5F0}">
            <xm:f>Input!$C$19="No"</xm:f>
            <x14:dxf>
              <font>
                <color theme="0"/>
              </font>
            </x14:dxf>
          </x14:cfRule>
          <xm:sqref>G44 G46</xm:sqref>
        </x14:conditionalFormatting>
        <x14:conditionalFormatting xmlns:xm="http://schemas.microsoft.com/office/excel/2006/main">
          <x14:cfRule type="expression" priority="41" id="{8657D7A4-5B7D-4683-8935-5FD64BD09B82}">
            <xm:f>Input!$C$19="No"</xm:f>
            <x14:dxf>
              <font>
                <color theme="0"/>
              </font>
              <fill>
                <patternFill>
                  <bgColor theme="0"/>
                </patternFill>
              </fill>
              <border>
                <left/>
                <right/>
                <top/>
                <bottom/>
                <vertical/>
                <horizontal/>
              </border>
            </x14:dxf>
          </x14:cfRule>
          <xm:sqref>G41:J41</xm:sqref>
        </x14:conditionalFormatting>
        <x14:conditionalFormatting xmlns:xm="http://schemas.microsoft.com/office/excel/2006/main">
          <x14:cfRule type="expression" priority="91" id="{DB631823-708F-445F-8E75-C725E1CB2553}">
            <xm:f>Input!$C$19="No"</xm:f>
            <x14:dxf>
              <font>
                <color theme="0"/>
              </font>
              <fill>
                <patternFill>
                  <bgColor theme="0"/>
                </patternFill>
              </fill>
              <border>
                <left/>
                <right/>
                <top/>
                <bottom style="thin">
                  <color auto="1"/>
                </bottom>
                <vertical/>
                <horizontal/>
              </border>
            </x14:dxf>
          </x14:cfRule>
          <xm:sqref>H2</xm:sqref>
        </x14:conditionalFormatting>
        <x14:conditionalFormatting xmlns:xm="http://schemas.microsoft.com/office/excel/2006/main">
          <x14:cfRule type="expression" priority="25" id="{514E4DA3-1FE2-4C52-ADF4-0F270D387B3D}">
            <xm:f>Input!$C$19="No"</xm:f>
            <x14:dxf>
              <font>
                <color theme="0"/>
              </font>
            </x14:dxf>
          </x14:cfRule>
          <xm:sqref>I10:I11</xm:sqref>
        </x14:conditionalFormatting>
        <x14:conditionalFormatting xmlns:xm="http://schemas.microsoft.com/office/excel/2006/main">
          <x14:cfRule type="expression" priority="46" id="{A33B5606-87D4-46CB-877A-21F30CD8BA09}">
            <xm:f>Input!$C$19="Yes"</xm:f>
            <x14:dxf>
              <font>
                <color theme="0"/>
              </font>
            </x14:dxf>
          </x14:cfRule>
          <xm:sqref>K13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4:L93"/>
  <sheetViews>
    <sheetView showGridLines="0" workbookViewId="0">
      <selection activeCell="I8" sqref="I8"/>
    </sheetView>
  </sheetViews>
  <sheetFormatPr defaultRowHeight="12.5" x14ac:dyDescent="0.25"/>
  <sheetData>
    <row r="4" spans="1:11" s="36" customFormat="1" ht="18" x14ac:dyDescent="0.4">
      <c r="C4" s="37" t="s">
        <v>17</v>
      </c>
      <c r="D4" s="38"/>
      <c r="E4" s="38"/>
      <c r="F4" s="38"/>
      <c r="G4" s="38"/>
      <c r="H4" s="38"/>
      <c r="I4" s="38"/>
      <c r="J4" s="39"/>
      <c r="K4" s="39"/>
    </row>
    <row r="5" spans="1:11" s="26" customFormat="1" ht="17.5" x14ac:dyDescent="0.35">
      <c r="A5" s="25" t="s">
        <v>25</v>
      </c>
      <c r="C5" s="27"/>
      <c r="E5" s="28"/>
      <c r="F5" s="29"/>
      <c r="H5" s="29"/>
      <c r="I5" s="29"/>
    </row>
    <row r="6" spans="1:11" s="31" customFormat="1" ht="17.5" x14ac:dyDescent="0.35">
      <c r="A6" s="25" t="s">
        <v>18</v>
      </c>
      <c r="B6" s="30"/>
      <c r="C6" s="30"/>
      <c r="D6" s="30"/>
      <c r="E6" s="30"/>
      <c r="F6" s="30"/>
      <c r="G6" s="30"/>
    </row>
    <row r="7" spans="1:11" s="32" customFormat="1" ht="17.5" x14ac:dyDescent="0.35">
      <c r="A7" s="25" t="s">
        <v>19</v>
      </c>
    </row>
    <row r="8" spans="1:11" s="34" customFormat="1" ht="17.5" x14ac:dyDescent="0.35">
      <c r="A8" s="33" t="s">
        <v>21</v>
      </c>
    </row>
    <row r="9" spans="1:11" s="34" customFormat="1" ht="17.5" x14ac:dyDescent="0.35">
      <c r="A9" s="33" t="s">
        <v>22</v>
      </c>
    </row>
    <row r="10" spans="1:11" s="34" customFormat="1" ht="17.5" x14ac:dyDescent="0.35">
      <c r="A10" s="33" t="s">
        <v>23</v>
      </c>
    </row>
    <row r="11" spans="1:11" s="34" customFormat="1" ht="17.5" x14ac:dyDescent="0.35">
      <c r="A11" s="33" t="s">
        <v>20</v>
      </c>
      <c r="C11" s="35"/>
    </row>
    <row r="12" spans="1:11" s="32" customFormat="1" ht="17.5" x14ac:dyDescent="0.35">
      <c r="A12" s="33" t="s">
        <v>24</v>
      </c>
    </row>
    <row r="13" spans="1:11" x14ac:dyDescent="0.25">
      <c r="A13" s="24"/>
    </row>
    <row r="14" spans="1:11" ht="14.5" x14ac:dyDescent="0.25">
      <c r="A14" s="24"/>
      <c r="C14" s="19"/>
    </row>
    <row r="18" spans="3:9" s="36" customFormat="1" ht="18" x14ac:dyDescent="0.4">
      <c r="C18" s="40" t="s">
        <v>11</v>
      </c>
      <c r="D18" s="41"/>
      <c r="E18" s="41"/>
      <c r="F18" s="41"/>
      <c r="G18" s="41"/>
      <c r="H18" s="41"/>
      <c r="I18" s="41"/>
    </row>
    <row r="19" spans="3:9" ht="15.5" x14ac:dyDescent="0.35">
      <c r="C19" s="16" t="s">
        <v>12</v>
      </c>
      <c r="D19" s="17"/>
      <c r="E19" s="17"/>
      <c r="F19" s="17"/>
      <c r="G19" s="17"/>
    </row>
    <row r="28" spans="3:9" ht="14.5" x14ac:dyDescent="0.25">
      <c r="C28" s="20"/>
      <c r="D28" s="21"/>
    </row>
    <row r="29" spans="3:9" ht="14.5" x14ac:dyDescent="0.25">
      <c r="C29" s="20"/>
    </row>
    <row r="30" spans="3:9" ht="14.5" x14ac:dyDescent="0.25">
      <c r="C30" s="20"/>
    </row>
    <row r="31" spans="3:9" ht="14.5" x14ac:dyDescent="0.25">
      <c r="C31" s="20"/>
    </row>
    <row r="32" spans="3:9" ht="14.5" x14ac:dyDescent="0.25">
      <c r="C32" s="20"/>
    </row>
    <row r="33" spans="3:12" ht="14.5" x14ac:dyDescent="0.25">
      <c r="C33" s="20"/>
    </row>
    <row r="34" spans="3:12" ht="14.5" x14ac:dyDescent="0.25">
      <c r="C34" s="20"/>
    </row>
    <row r="44" spans="3:12" ht="15.5" x14ac:dyDescent="0.35">
      <c r="C44" s="22" t="s">
        <v>13</v>
      </c>
      <c r="D44" s="17"/>
      <c r="E44" s="17"/>
      <c r="F44" s="17"/>
      <c r="G44" s="17"/>
      <c r="H44" s="17"/>
      <c r="I44" s="17"/>
      <c r="J44" s="17"/>
      <c r="K44" s="17"/>
      <c r="L44" s="17"/>
    </row>
    <row r="45" spans="3:12" x14ac:dyDescent="0.25">
      <c r="C45" s="18" t="s">
        <v>14</v>
      </c>
    </row>
    <row r="46" spans="3:12" x14ac:dyDescent="0.25">
      <c r="C46" s="18" t="s">
        <v>15</v>
      </c>
    </row>
    <row r="93" spans="3:8" ht="15.5" x14ac:dyDescent="0.35">
      <c r="C93" s="16" t="s">
        <v>16</v>
      </c>
      <c r="D93" s="23"/>
      <c r="E93" s="23"/>
      <c r="F93" s="23"/>
      <c r="G93" s="17"/>
      <c r="H93" s="17"/>
    </row>
  </sheetData>
  <phoneticPr fontId="3" type="noConversion"/>
  <pageMargins left="0.75" right="0.75" top="1" bottom="1" header="0.5" footer="0.5"/>
  <headerFooter alignWithMargin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5923D-D840-4E79-A182-DF46F7998A23}">
  <sheetPr>
    <tabColor theme="4" tint="0.79998168889431442"/>
  </sheetPr>
  <dimension ref="A1:AD90"/>
  <sheetViews>
    <sheetView showGridLines="0" workbookViewId="0">
      <selection activeCell="G22" sqref="G22"/>
    </sheetView>
  </sheetViews>
  <sheetFormatPr defaultColWidth="9.1796875" defaultRowHeight="13" x14ac:dyDescent="0.3"/>
  <cols>
    <col min="1" max="1" width="44.81640625" style="136" bestFit="1" customWidth="1"/>
    <col min="2" max="2" width="16.54296875" style="136" customWidth="1"/>
    <col min="3" max="4" width="9.1796875" style="136"/>
    <col min="5" max="7" width="10.7265625" style="136" customWidth="1"/>
    <col min="8" max="8" width="2.81640625" style="136" customWidth="1"/>
    <col min="9" max="9" width="13" style="136" customWidth="1"/>
    <col min="10" max="10" width="10.54296875" style="136" customWidth="1"/>
    <col min="11" max="12" width="9.1796875" style="136"/>
    <col min="13" max="13" width="16.54296875" style="136" customWidth="1"/>
    <col min="14" max="14" width="7.453125" style="136" customWidth="1"/>
    <col min="15" max="15" width="13.7265625" style="136" customWidth="1"/>
    <col min="16" max="16" width="4.81640625" style="139" customWidth="1"/>
    <col min="17" max="30" width="9.1796875" style="139"/>
    <col min="31" max="16384" width="9.1796875" style="136"/>
  </cols>
  <sheetData>
    <row r="1" spans="1:29" ht="15.5" thickBot="1" x14ac:dyDescent="0.35">
      <c r="E1" s="137"/>
      <c r="F1" s="138" t="s">
        <v>31</v>
      </c>
      <c r="G1" s="137"/>
      <c r="H1" s="137"/>
      <c r="Q1" s="247"/>
      <c r="R1" s="247"/>
      <c r="S1" s="247"/>
      <c r="T1" s="247"/>
      <c r="U1" s="247"/>
      <c r="V1" s="247"/>
      <c r="W1" s="247"/>
      <c r="X1" s="247"/>
      <c r="Y1" s="247"/>
      <c r="Z1" s="247"/>
      <c r="AA1" s="247"/>
      <c r="AB1" s="247"/>
      <c r="AC1" s="247"/>
    </row>
    <row r="2" spans="1:29" ht="17.5" x14ac:dyDescent="0.35">
      <c r="A2" s="299" t="str">
        <f>Input!$C$9&amp;" Taxpayer Impact Calculation Page"</f>
        <v>2025 Taxpayer Impact Calculation Page</v>
      </c>
      <c r="B2" s="299"/>
      <c r="E2" s="140"/>
      <c r="F2" s="141" t="s">
        <v>155</v>
      </c>
      <c r="G2" s="142"/>
      <c r="H2" s="137"/>
      <c r="Q2" s="247"/>
      <c r="R2" s="247"/>
      <c r="S2" s="247"/>
      <c r="T2" s="247"/>
      <c r="U2" s="247"/>
      <c r="V2" s="247"/>
      <c r="W2" s="247"/>
      <c r="X2" s="247"/>
      <c r="Y2" s="247"/>
      <c r="Z2" s="247"/>
      <c r="AA2" s="247"/>
      <c r="AB2" s="247"/>
      <c r="AC2" s="247"/>
    </row>
    <row r="3" spans="1:29" x14ac:dyDescent="0.3">
      <c r="E3" s="143"/>
      <c r="F3" s="144" t="s">
        <v>30</v>
      </c>
      <c r="G3" s="145"/>
      <c r="H3" s="137"/>
      <c r="Q3" s="247"/>
      <c r="R3" s="247"/>
      <c r="S3" s="247"/>
      <c r="T3" s="247"/>
      <c r="U3" s="247"/>
      <c r="V3" s="247"/>
      <c r="W3" s="247"/>
      <c r="X3" s="247"/>
      <c r="Y3" s="247"/>
      <c r="Z3" s="247"/>
      <c r="AA3" s="247"/>
      <c r="AB3" s="247"/>
      <c r="AC3" s="247"/>
    </row>
    <row r="4" spans="1:29" ht="15.5" thickBot="1" x14ac:dyDescent="0.35">
      <c r="B4" s="146" t="s">
        <v>102</v>
      </c>
      <c r="E4" s="147"/>
      <c r="F4" s="148" t="s">
        <v>34</v>
      </c>
      <c r="G4" s="149"/>
      <c r="H4" s="137"/>
      <c r="M4" s="150" t="s">
        <v>103</v>
      </c>
      <c r="Q4" s="247"/>
      <c r="R4" s="247"/>
      <c r="S4" s="247"/>
      <c r="T4" s="247"/>
      <c r="U4" s="247"/>
      <c r="V4" s="247"/>
      <c r="W4" s="247"/>
      <c r="X4" s="247"/>
      <c r="Y4" s="247"/>
      <c r="Z4" s="247"/>
      <c r="AA4" s="247"/>
      <c r="AB4" s="247"/>
      <c r="AC4" s="247"/>
    </row>
    <row r="5" spans="1:29" x14ac:dyDescent="0.3">
      <c r="Q5" s="247"/>
      <c r="R5" s="247"/>
      <c r="S5" s="247"/>
      <c r="T5" s="247"/>
      <c r="U5" s="247"/>
      <c r="V5" s="247"/>
      <c r="W5" s="247"/>
      <c r="X5" s="247"/>
      <c r="Y5" s="247"/>
      <c r="Z5" s="247"/>
      <c r="AA5" s="247"/>
      <c r="AB5" s="247"/>
      <c r="AC5" s="247"/>
    </row>
    <row r="6" spans="1:29" ht="15" x14ac:dyDescent="0.3">
      <c r="A6" s="146" t="str">
        <f>Input!B34</f>
        <v xml:space="preserve">Estimated Existing EAV % Change for 2025 </v>
      </c>
      <c r="B6" s="151">
        <f>Calculations!H5</f>
        <v>0</v>
      </c>
      <c r="L6" s="152" t="str">
        <f>(Input!$C$9-1)&amp; " Fair Cash / Market Value Home"</f>
        <v>2024 Fair Cash / Market Value Home</v>
      </c>
      <c r="M6" s="153"/>
      <c r="Q6" s="248"/>
      <c r="R6" s="247"/>
      <c r="S6" s="247"/>
      <c r="T6" s="247"/>
      <c r="U6" s="247"/>
      <c r="V6" s="247"/>
      <c r="W6" s="247"/>
      <c r="X6" s="154"/>
      <c r="Y6" s="154"/>
      <c r="Z6" s="154"/>
      <c r="AA6" s="154"/>
      <c r="AB6" s="247"/>
      <c r="AC6" s="247"/>
    </row>
    <row r="7" spans="1:29" ht="15" x14ac:dyDescent="0.3">
      <c r="A7" s="146" t="str">
        <f>"Estimated Existing EAV Value for "&amp; Input!C9&amp;" "</f>
        <v xml:space="preserve">Estimated Existing EAV Value for 2025 </v>
      </c>
      <c r="B7" s="155">
        <f>Calculations!H6</f>
        <v>0</v>
      </c>
      <c r="L7" s="152"/>
      <c r="M7" s="152"/>
      <c r="Q7" s="248"/>
      <c r="R7" s="247"/>
      <c r="S7" s="247"/>
      <c r="T7" s="247"/>
      <c r="U7" s="247"/>
      <c r="V7" s="247"/>
      <c r="W7" s="247"/>
      <c r="X7" s="154"/>
      <c r="Y7" s="154"/>
      <c r="Z7" s="154">
        <v>3.0163000000000002</v>
      </c>
      <c r="AA7" s="154"/>
      <c r="AB7" s="247"/>
      <c r="AC7" s="247"/>
    </row>
    <row r="8" spans="1:29" ht="15" x14ac:dyDescent="0.3">
      <c r="A8" s="156"/>
      <c r="B8" s="157"/>
      <c r="C8" s="158"/>
      <c r="L8" s="152" t="str">
        <f>"Estimated "&amp;Input!C9&amp;" Fair Cash Value Home"</f>
        <v>Estimated 2025 Fair Cash Value Home</v>
      </c>
      <c r="M8" s="155">
        <f>M6*(1+B6)</f>
        <v>0</v>
      </c>
      <c r="N8" s="159" t="s">
        <v>105</v>
      </c>
      <c r="O8" s="158"/>
      <c r="Q8" s="248"/>
      <c r="R8" s="247"/>
      <c r="S8" s="247"/>
      <c r="T8" s="247"/>
      <c r="U8" s="247"/>
      <c r="V8" s="247"/>
      <c r="W8" s="247"/>
      <c r="X8" s="154" t="s">
        <v>106</v>
      </c>
      <c r="Y8" s="160">
        <v>0.1</v>
      </c>
      <c r="Z8" s="154">
        <v>3.0354999999999999</v>
      </c>
      <c r="AA8" s="154">
        <v>10000</v>
      </c>
      <c r="AB8" s="247"/>
      <c r="AC8" s="247"/>
    </row>
    <row r="9" spans="1:29" ht="15" x14ac:dyDescent="0.3">
      <c r="A9" s="146" t="str">
        <f>Input!B38</f>
        <v xml:space="preserve">Estimated New Property for 2025 </v>
      </c>
      <c r="B9" s="155">
        <f>Calculations!H8</f>
        <v>0</v>
      </c>
      <c r="C9" s="158"/>
      <c r="L9" s="152"/>
      <c r="M9" s="152"/>
      <c r="N9" s="159"/>
      <c r="O9" s="158"/>
      <c r="Q9" s="248"/>
      <c r="R9" s="247"/>
      <c r="S9" s="247"/>
      <c r="T9" s="247"/>
      <c r="U9" s="247"/>
      <c r="V9" s="247"/>
      <c r="W9" s="247"/>
      <c r="X9" s="154" t="s">
        <v>107</v>
      </c>
      <c r="Y9" s="160">
        <f>((1/3)*100)%</f>
        <v>0.33333333333333326</v>
      </c>
      <c r="Z9" s="154">
        <v>1</v>
      </c>
      <c r="AA9" s="154">
        <v>8000</v>
      </c>
      <c r="AB9" s="247"/>
      <c r="AC9" s="247"/>
    </row>
    <row r="10" spans="1:29" ht="3" customHeight="1" x14ac:dyDescent="0.3">
      <c r="A10" s="146"/>
      <c r="B10" s="146"/>
      <c r="C10" s="158"/>
      <c r="L10" s="152"/>
      <c r="M10" s="152"/>
      <c r="N10" s="159"/>
      <c r="O10" s="158"/>
      <c r="Q10" s="248"/>
      <c r="R10" s="247"/>
      <c r="S10" s="247"/>
      <c r="T10" s="247"/>
      <c r="U10" s="247"/>
      <c r="V10" s="247"/>
      <c r="W10" s="247"/>
      <c r="X10" s="154"/>
      <c r="Y10" s="160"/>
      <c r="Z10" s="154"/>
      <c r="AA10" s="154"/>
      <c r="AB10" s="247"/>
      <c r="AC10" s="247"/>
    </row>
    <row r="11" spans="1:29" ht="15" x14ac:dyDescent="0.3">
      <c r="A11" s="146" t="str">
        <f>Input!B40</f>
        <v xml:space="preserve">Estimated Total EAV for 2025 </v>
      </c>
      <c r="B11" s="155">
        <f>IF(Input!$C$19="Yes",B7+B9,B7)</f>
        <v>0</v>
      </c>
      <c r="C11" s="159" t="s">
        <v>35</v>
      </c>
      <c r="L11" s="152" t="s">
        <v>108</v>
      </c>
      <c r="M11" s="155">
        <f>M8*N11</f>
        <v>0</v>
      </c>
      <c r="N11" s="161">
        <f>IF(Input!$C$13="Cook",'Tax Calculator - Calculations'!Y8,'Tax Calculator - Calculations'!Y9)</f>
        <v>0.33333333333333326</v>
      </c>
      <c r="O11" s="158"/>
      <c r="Q11" s="247"/>
      <c r="R11" s="247"/>
      <c r="S11" s="247"/>
      <c r="T11" s="247"/>
      <c r="U11" s="247"/>
      <c r="V11" s="247"/>
      <c r="W11" s="247"/>
      <c r="X11" s="154" t="s">
        <v>109</v>
      </c>
      <c r="Y11" s="160"/>
      <c r="Z11" s="154"/>
      <c r="AA11" s="154">
        <v>8000</v>
      </c>
      <c r="AB11" s="247"/>
      <c r="AC11" s="247"/>
    </row>
    <row r="12" spans="1:29" ht="15.75" customHeight="1" x14ac:dyDescent="0.3">
      <c r="B12" s="158"/>
      <c r="E12" s="196"/>
      <c r="L12" s="152" t="s">
        <v>110</v>
      </c>
      <c r="M12" s="155">
        <f>M11*N12</f>
        <v>0</v>
      </c>
      <c r="N12" s="162">
        <f>IF(Input!$C$13="Cook",'Tax Calculator - Calculations'!Z8,'Tax Calculator - Calculations'!Z9)</f>
        <v>1</v>
      </c>
      <c r="O12" s="158"/>
      <c r="Q12" s="247"/>
      <c r="R12" s="247"/>
      <c r="S12" s="247"/>
      <c r="T12" s="247"/>
      <c r="U12" s="247"/>
      <c r="V12" s="247"/>
      <c r="W12" s="247"/>
      <c r="X12" s="154" t="s">
        <v>111</v>
      </c>
      <c r="Y12" s="160"/>
      <c r="Z12" s="154"/>
      <c r="AA12" s="154">
        <v>8000</v>
      </c>
      <c r="AB12" s="247"/>
      <c r="AC12" s="247"/>
    </row>
    <row r="13" spans="1:29" ht="15" x14ac:dyDescent="0.3">
      <c r="A13" s="152" t="str">
        <f>Input!$C$9-1&amp;" Operating Rate"</f>
        <v>2024 Operating Rate</v>
      </c>
      <c r="B13" s="163" t="e">
        <f>(Input!D74/Input!C30)*100</f>
        <v>#DIV/0!</v>
      </c>
      <c r="O13" s="158"/>
      <c r="Q13" s="247"/>
      <c r="R13" s="247"/>
      <c r="S13" s="247"/>
      <c r="T13" s="247"/>
      <c r="U13" s="247"/>
      <c r="V13" s="247"/>
      <c r="W13" s="247"/>
      <c r="X13" s="154" t="s">
        <v>112</v>
      </c>
      <c r="Y13" s="160"/>
      <c r="Z13" s="154"/>
      <c r="AA13" s="154">
        <v>8000</v>
      </c>
      <c r="AB13" s="247"/>
      <c r="AC13" s="247"/>
    </row>
    <row r="14" spans="1:29" ht="15" x14ac:dyDescent="0.3">
      <c r="A14" s="152" t="str">
        <f>"Estimated "&amp;Input!$C$9&amp;" Operating Rate"</f>
        <v>Estimated 2025 Operating Rate</v>
      </c>
      <c r="B14" s="163" t="e">
        <f>IF(Input!C19="Yes",IF(Calculations!J39/'Tax Calculator - Calculations'!B11*100&gt;Calculations!B9,Calculations!B9,Calculations!J39/'Tax Calculator - Calculations'!B11*100),(IF(Calculations!J14&gt;Calculations!F14,Calculations!F14,Calculations!J14)+IF(Calculations!J15&gt;Calculations!F15,Calculations!F15,Calculations!J15)+IF(Calculations!J16&gt;Calculations!F16,Calculations!F16,Calculations!J16)+IF(Calculations!J25&gt;Calculations!F25,Calculations!F25,Calculations!J25)+IF(Calculations!J26&gt;Calculations!F26,Calculations!F26,Calculations!J26)+IF(Calculations!J27&gt;Calculations!F27,Calculations!F27,Calculations!J27)+IF(Calculations!J28&gt;Calculations!F28,Calculations!F28,Calculations!J28)+IF(Calculations!J29&gt;Calculations!F29,Calculations!F29,Calculations!J29)+IF(Calculations!J30&gt;Calculations!F30,Calculations!F30,Calculations!J30)+IF(Calculations!J31&gt;Calculations!F31,Calculations!F31,Calculations!J31)+IF(Calculations!J32&gt;Calculations!F32,Calculations!F32,Calculations!J32)+IF(Calculations!J33&gt;Calculations!F33,Calculations!F33,Calculations!J33)+IF(Calculations!J34&gt;Calculations!F34,Calculations!F34,Calculations!J34)+SUM(Calculations!J17:'Calculations'!J24)+Calculations!J35+Calculations!J36)/B11*100)</f>
        <v>#DIV/0!</v>
      </c>
      <c r="C14" s="164"/>
      <c r="J14" s="158"/>
      <c r="K14" s="158"/>
      <c r="L14"/>
      <c r="M14"/>
      <c r="N14" s="300" t="s">
        <v>113</v>
      </c>
      <c r="O14" s="300"/>
      <c r="P14" s="166"/>
      <c r="Q14" s="247"/>
      <c r="R14" s="247"/>
      <c r="S14" s="247"/>
      <c r="T14" s="247"/>
      <c r="U14" s="247"/>
      <c r="V14" s="247"/>
      <c r="W14" s="247"/>
      <c r="X14" s="154" t="s">
        <v>114</v>
      </c>
      <c r="Y14" s="160"/>
      <c r="Z14" s="154"/>
      <c r="AA14" s="154">
        <v>8000</v>
      </c>
      <c r="AB14" s="247"/>
      <c r="AC14" s="247"/>
    </row>
    <row r="15" spans="1:29" ht="15.75" customHeight="1" thickBot="1" x14ac:dyDescent="0.35">
      <c r="A15" s="152" t="str">
        <f>"Estimated "&amp;Input!C9&amp;" Bond &amp; Interest Tax Rate"</f>
        <v>Estimated 2025 Bond &amp; Interest Tax Rate</v>
      </c>
      <c r="B15" s="163" t="e">
        <f>((Calculations!G47*(1+B17)/B11*100)+0.0000001)</f>
        <v>#DIV/0!</v>
      </c>
      <c r="C15" s="159" t="s">
        <v>115</v>
      </c>
      <c r="J15" s="158"/>
      <c r="K15" s="158"/>
      <c r="L15" s="152" t="s">
        <v>179</v>
      </c>
      <c r="M15" s="165">
        <f>IF(Input!$C$13="Cook",'Tax Calculator - Calculations'!AA8,IF(Input!$C$13="DuPage",'Tax Calculator - Calculations'!AA9,IF(Input!C13="Lake",'Tax Calculator - Calculations'!AA11,IF(Input!C13="McHenry",'Tax Calculator - Calculations'!AA12,IF(Input!C13="Kane",'Tax Calculator - Calculations'!AA13,IF(Input!C13="Will",'Tax Calculator - Calculations'!AA14,AA15))))))</f>
        <v>6000</v>
      </c>
      <c r="N15" s="300"/>
      <c r="O15" s="300"/>
      <c r="P15" s="166"/>
      <c r="Q15" s="247"/>
      <c r="R15" s="247"/>
      <c r="S15" s="247"/>
      <c r="T15" s="247"/>
      <c r="U15" s="247"/>
      <c r="V15" s="247"/>
      <c r="W15" s="247"/>
      <c r="X15" s="154"/>
      <c r="Y15" s="154"/>
      <c r="Z15" s="154"/>
      <c r="AA15" s="154">
        <v>6000</v>
      </c>
      <c r="AB15" s="247"/>
      <c r="AC15" s="247"/>
    </row>
    <row r="16" spans="1:29" ht="15" x14ac:dyDescent="0.3">
      <c r="A16" s="152"/>
      <c r="B16" s="152"/>
      <c r="C16" s="167"/>
      <c r="D16" s="167"/>
      <c r="E16" s="301" t="s">
        <v>122</v>
      </c>
      <c r="F16" s="302"/>
      <c r="G16" s="303"/>
      <c r="M16" s="158"/>
      <c r="N16" s="168"/>
      <c r="O16" s="168"/>
      <c r="Q16" s="247"/>
      <c r="R16" s="247"/>
      <c r="S16" s="247"/>
      <c r="T16" s="247"/>
      <c r="U16" s="247"/>
      <c r="V16" s="247"/>
      <c r="W16" s="247"/>
      <c r="X16" s="247"/>
      <c r="Y16" s="247"/>
      <c r="Z16" s="247"/>
      <c r="AA16" s="247"/>
      <c r="AB16" s="247"/>
      <c r="AC16" s="247"/>
    </row>
    <row r="17" spans="1:29" ht="15" x14ac:dyDescent="0.3">
      <c r="A17" s="152" t="s">
        <v>116</v>
      </c>
      <c r="B17" s="169"/>
      <c r="D17" s="167"/>
      <c r="E17" s="304"/>
      <c r="F17" s="305"/>
      <c r="G17" s="306"/>
      <c r="L17" s="152" t="s">
        <v>117</v>
      </c>
      <c r="M17" s="165">
        <f>M12-M15</f>
        <v>-6000</v>
      </c>
      <c r="N17" s="170"/>
      <c r="O17" s="171"/>
      <c r="Q17" s="247"/>
      <c r="R17" s="247"/>
      <c r="S17" s="247"/>
      <c r="T17" s="247"/>
      <c r="U17" s="247"/>
      <c r="V17" s="247"/>
      <c r="W17" s="247"/>
      <c r="X17" s="247"/>
      <c r="Y17" s="247"/>
      <c r="Z17" s="247"/>
      <c r="AA17" s="247"/>
      <c r="AB17" s="247"/>
      <c r="AC17" s="247"/>
    </row>
    <row r="18" spans="1:29" ht="15.75" customHeight="1" thickBot="1" x14ac:dyDescent="0.35">
      <c r="E18" s="307"/>
      <c r="F18" s="308"/>
      <c r="G18" s="309"/>
      <c r="M18" s="158"/>
      <c r="N18" s="158"/>
      <c r="O18" s="158"/>
      <c r="Q18" s="247"/>
      <c r="R18" s="247"/>
      <c r="S18" s="247"/>
      <c r="T18" s="247"/>
      <c r="U18" s="247"/>
      <c r="V18" s="247"/>
      <c r="W18" s="247"/>
      <c r="X18" s="247"/>
      <c r="Y18" s="247"/>
      <c r="Z18" s="247"/>
      <c r="AA18" s="247"/>
      <c r="AB18" s="247"/>
      <c r="AC18" s="247"/>
    </row>
    <row r="19" spans="1:29" ht="15" x14ac:dyDescent="0.3">
      <c r="A19" s="152" t="s">
        <v>118</v>
      </c>
      <c r="B19" s="172">
        <v>0</v>
      </c>
      <c r="C19" s="167" t="s">
        <v>119</v>
      </c>
      <c r="L19" s="152" t="str">
        <f>"Estimated Change in Tax Payment for "&amp; Input!C9</f>
        <v>Estimated Change in Tax Payment for 2025</v>
      </c>
      <c r="M19" s="165" t="e">
        <f>(M17*(B28)/100)-(((((M6*N11)*IF(Input!C13="Cook",Z7,Z9))-M15)*(B29)/100))</f>
        <v>#DIV/0!</v>
      </c>
      <c r="N19" s="158"/>
      <c r="O19" s="158"/>
      <c r="Q19" s="247"/>
      <c r="R19" s="247"/>
      <c r="S19" s="247"/>
      <c r="T19" s="247"/>
      <c r="U19" s="247"/>
      <c r="V19" s="247"/>
      <c r="W19" s="247"/>
      <c r="X19" s="247"/>
      <c r="Y19" s="247"/>
      <c r="Z19" s="247"/>
      <c r="AA19" s="247"/>
      <c r="AB19" s="247"/>
      <c r="AC19" s="247"/>
    </row>
    <row r="20" spans="1:29" ht="15" x14ac:dyDescent="0.3">
      <c r="A20" s="152" t="s">
        <v>120</v>
      </c>
      <c r="B20" s="163" t="e">
        <f>((B19*(1+B17))/B11*100)</f>
        <v>#DIV/0!</v>
      </c>
      <c r="C20" s="167" t="s">
        <v>121</v>
      </c>
      <c r="Q20" s="247"/>
      <c r="R20" s="247"/>
      <c r="S20" s="247"/>
      <c r="T20" s="247"/>
      <c r="U20" s="247"/>
      <c r="V20" s="247"/>
      <c r="W20" s="247"/>
      <c r="X20" s="247"/>
      <c r="Y20" s="247"/>
      <c r="Z20" s="247"/>
      <c r="AA20" s="247"/>
      <c r="AB20" s="247"/>
      <c r="AC20" s="247"/>
    </row>
    <row r="21" spans="1:29" ht="15.75" customHeight="1" x14ac:dyDescent="0.3">
      <c r="A21" s="152"/>
      <c r="B21" s="152"/>
      <c r="C21" s="167"/>
      <c r="I21" s="173" t="str">
        <f>"Note, the calculator is intended to estimate the "&amp;Input!C11&amp;" portion of the tax bill."</f>
        <v>Note, the calculator is intended to estimate the  portion of the tax bill.</v>
      </c>
      <c r="J21" s="174"/>
      <c r="K21" s="174"/>
      <c r="L21" s="174"/>
      <c r="M21" s="174"/>
      <c r="N21" s="174"/>
      <c r="Q21" s="247"/>
      <c r="R21" s="247"/>
      <c r="S21" s="247"/>
      <c r="T21" s="247"/>
      <c r="U21" s="247"/>
      <c r="V21" s="247"/>
      <c r="W21" s="247"/>
      <c r="X21" s="247"/>
      <c r="Y21" s="247"/>
      <c r="Z21" s="247"/>
      <c r="AA21" s="247"/>
      <c r="AB21" s="247"/>
      <c r="AC21" s="247"/>
    </row>
    <row r="22" spans="1:29" ht="15.75" customHeight="1" x14ac:dyDescent="0.3">
      <c r="A22" s="152" t="str">
        <f>"Net "&amp;Input!$C$9&amp;" B&amp;I Tax Rate"</f>
        <v>Net 2025 B&amp;I Tax Rate</v>
      </c>
      <c r="B22" s="163" t="e">
        <f>(IF(B15&gt;B20,B15-B20,"Check Abatement"))</f>
        <v>#DIV/0!</v>
      </c>
      <c r="I22" s="310" t="s">
        <v>168</v>
      </c>
      <c r="J22" s="310"/>
      <c r="K22" s="310"/>
      <c r="L22" s="310"/>
      <c r="M22" s="310"/>
      <c r="N22" s="310"/>
      <c r="O22" s="310"/>
      <c r="Q22" s="247"/>
      <c r="R22" s="247"/>
      <c r="S22" s="247"/>
      <c r="T22" s="247"/>
      <c r="U22" s="247"/>
      <c r="V22" s="247"/>
      <c r="W22" s="247"/>
      <c r="X22" s="247"/>
      <c r="Y22" s="247"/>
      <c r="Z22" s="247"/>
      <c r="AA22" s="247"/>
      <c r="AB22" s="247"/>
      <c r="AC22" s="247"/>
    </row>
    <row r="23" spans="1:29" ht="18.75" customHeight="1" x14ac:dyDescent="0.3">
      <c r="A23" s="152"/>
      <c r="B23" s="152"/>
      <c r="C23" s="167"/>
      <c r="I23" s="310"/>
      <c r="J23" s="310"/>
      <c r="K23" s="310"/>
      <c r="L23" s="310"/>
      <c r="M23" s="310"/>
      <c r="N23" s="310"/>
      <c r="O23" s="310"/>
      <c r="Q23" s="247"/>
      <c r="R23" s="247"/>
      <c r="S23" s="247"/>
      <c r="T23" s="247"/>
      <c r="U23" s="247"/>
      <c r="V23" s="247"/>
      <c r="W23" s="247"/>
      <c r="X23" s="247"/>
      <c r="Y23" s="247"/>
      <c r="Z23" s="247"/>
      <c r="AA23" s="247"/>
      <c r="AB23" s="247"/>
      <c r="AC23" s="247"/>
    </row>
    <row r="24" spans="1:29" ht="15" x14ac:dyDescent="0.3">
      <c r="A24" s="152" t="s">
        <v>177</v>
      </c>
      <c r="B24" s="163" t="e">
        <f>MIN((Calculations!F43),Calculations!G43)/'Tax Calculator - Calculations'!B11*100</f>
        <v>#DIV/0!</v>
      </c>
      <c r="C24" s="167"/>
      <c r="I24" s="310"/>
      <c r="J24" s="310"/>
      <c r="K24" s="310"/>
      <c r="L24" s="310"/>
      <c r="M24" s="310"/>
      <c r="N24" s="310"/>
      <c r="O24" s="310"/>
      <c r="Q24" s="247"/>
      <c r="R24" s="247"/>
      <c r="S24" s="247"/>
      <c r="T24" s="247"/>
      <c r="U24" s="247"/>
      <c r="V24" s="247"/>
      <c r="W24" s="247"/>
      <c r="X24" s="247"/>
      <c r="Y24" s="247"/>
      <c r="Z24" s="247"/>
      <c r="AA24" s="247"/>
      <c r="AB24" s="247"/>
      <c r="AC24" s="247"/>
    </row>
    <row r="25" spans="1:29" ht="15" x14ac:dyDescent="0.3">
      <c r="A25" s="152"/>
      <c r="B25" s="152"/>
      <c r="C25" s="167"/>
      <c r="I25" s="310"/>
      <c r="J25" s="310"/>
      <c r="K25" s="310"/>
      <c r="L25" s="310"/>
      <c r="M25" s="310"/>
      <c r="N25" s="310"/>
      <c r="O25" s="310"/>
      <c r="Q25" s="247"/>
      <c r="R25" s="247"/>
      <c r="S25" s="247"/>
      <c r="T25" s="247"/>
      <c r="U25" s="247"/>
      <c r="V25" s="247"/>
      <c r="W25" s="247"/>
      <c r="X25" s="247"/>
      <c r="Y25" s="247"/>
      <c r="Z25" s="247"/>
      <c r="AA25" s="247"/>
      <c r="AB25" s="247"/>
      <c r="AC25" s="247"/>
    </row>
    <row r="26" spans="1:29" ht="15" x14ac:dyDescent="0.3">
      <c r="A26" s="152" t="str">
        <f>"Estimated "&amp;Input!B78&amp;" Rate"</f>
        <v>Estimated Custom Non-PTELL Rate</v>
      </c>
      <c r="B26" s="163" t="e">
        <f>(Calculations!J$45/'Tax Calculator - Calculations'!B$11)*100</f>
        <v>#DIV/0!</v>
      </c>
      <c r="C26" s="167"/>
      <c r="I26" s="310"/>
      <c r="J26" s="310"/>
      <c r="K26" s="310"/>
      <c r="L26" s="310"/>
      <c r="M26" s="310"/>
      <c r="N26" s="310"/>
      <c r="O26" s="310"/>
      <c r="Q26" s="247"/>
      <c r="R26" s="247"/>
      <c r="S26" s="247"/>
      <c r="T26" s="247"/>
      <c r="U26" s="247"/>
      <c r="V26" s="247"/>
      <c r="W26" s="247"/>
      <c r="X26" s="247"/>
      <c r="Y26" s="247"/>
      <c r="Z26" s="247"/>
      <c r="AA26" s="247"/>
      <c r="AB26" s="247"/>
      <c r="AC26" s="247"/>
    </row>
    <row r="27" spans="1:29" ht="15" x14ac:dyDescent="0.3">
      <c r="A27" s="152"/>
      <c r="B27" s="152"/>
      <c r="C27" s="167"/>
      <c r="I27" s="310"/>
      <c r="J27" s="310"/>
      <c r="K27" s="310"/>
      <c r="L27" s="310"/>
      <c r="M27" s="310"/>
      <c r="N27" s="310"/>
      <c r="O27" s="310"/>
      <c r="Q27" s="247"/>
      <c r="R27" s="247"/>
      <c r="S27" s="247"/>
      <c r="T27" s="247"/>
      <c r="U27" s="247"/>
      <c r="V27" s="247"/>
      <c r="W27" s="247"/>
      <c r="X27" s="247"/>
      <c r="Y27" s="247"/>
      <c r="Z27" s="247"/>
      <c r="AA27" s="247"/>
      <c r="AB27" s="247"/>
      <c r="AC27" s="247"/>
    </row>
    <row r="28" spans="1:29" ht="15" x14ac:dyDescent="0.3">
      <c r="A28" s="5" t="str">
        <f>"Total "&amp;Input!$C$9&amp;" Tax Rate"</f>
        <v>Total 2025 Tax Rate</v>
      </c>
      <c r="B28" s="163" t="e">
        <f>IF(Input!C$19="Yes",B22+B14+B24+B26,B22+B24+B14)</f>
        <v>#DIV/0!</v>
      </c>
      <c r="I28" s="310"/>
      <c r="J28" s="310"/>
      <c r="K28" s="310"/>
      <c r="L28" s="310"/>
      <c r="M28" s="310"/>
      <c r="N28" s="310"/>
      <c r="O28" s="310"/>
      <c r="Q28" s="247"/>
      <c r="R28" s="247"/>
      <c r="S28" s="247"/>
      <c r="T28" s="247"/>
      <c r="U28" s="247"/>
      <c r="V28" s="247"/>
      <c r="W28" s="247"/>
      <c r="X28" s="247"/>
      <c r="Y28" s="247"/>
      <c r="Z28" s="247"/>
      <c r="AA28" s="247"/>
      <c r="AB28" s="247"/>
      <c r="AC28" s="247"/>
    </row>
    <row r="29" spans="1:29" ht="15" x14ac:dyDescent="0.3">
      <c r="A29" s="152" t="s">
        <v>123</v>
      </c>
      <c r="B29" s="163" t="e">
        <f>Input!D82/Input!C30*100</f>
        <v>#DIV/0!</v>
      </c>
      <c r="I29" s="175"/>
      <c r="J29" s="175"/>
      <c r="K29" s="175"/>
      <c r="L29" s="175"/>
      <c r="M29" s="175"/>
      <c r="N29" s="175"/>
      <c r="O29" s="175"/>
      <c r="Q29" s="247"/>
      <c r="R29" s="247"/>
      <c r="S29" s="247"/>
      <c r="T29" s="247"/>
      <c r="U29" s="247"/>
      <c r="V29" s="247"/>
      <c r="W29" s="247"/>
      <c r="X29" s="247"/>
      <c r="Y29" s="247"/>
      <c r="Z29" s="247"/>
      <c r="AA29" s="247"/>
      <c r="AB29" s="247"/>
      <c r="AC29" s="247"/>
    </row>
    <row r="30" spans="1:29" ht="15" x14ac:dyDescent="0.3">
      <c r="A30" s="152"/>
      <c r="B30" s="152"/>
      <c r="I30" s="195"/>
      <c r="J30" s="195"/>
      <c r="K30" s="195"/>
      <c r="L30" s="195"/>
      <c r="M30" s="195"/>
      <c r="N30" s="195"/>
      <c r="O30" s="176"/>
      <c r="Q30" s="247"/>
      <c r="R30" s="247"/>
      <c r="S30" s="247"/>
      <c r="T30" s="247"/>
      <c r="U30" s="247"/>
      <c r="V30" s="247"/>
      <c r="W30" s="247"/>
      <c r="X30" s="247"/>
      <c r="Y30" s="247"/>
      <c r="Z30" s="247"/>
      <c r="AA30" s="247"/>
      <c r="AB30" s="247"/>
      <c r="AC30" s="247"/>
    </row>
    <row r="31" spans="1:29" s="139" customFormat="1" x14ac:dyDescent="0.3"/>
    <row r="32" spans="1:29" s="139" customFormat="1" x14ac:dyDescent="0.3"/>
    <row r="33" s="139" customFormat="1" x14ac:dyDescent="0.3"/>
    <row r="34" s="139" customFormat="1" x14ac:dyDescent="0.3"/>
    <row r="35" s="139" customFormat="1" x14ac:dyDescent="0.3"/>
    <row r="36" s="139" customFormat="1" x14ac:dyDescent="0.3"/>
    <row r="37" s="139" customFormat="1" x14ac:dyDescent="0.3"/>
    <row r="38" s="139" customFormat="1" x14ac:dyDescent="0.3"/>
    <row r="39" s="139" customFormat="1" x14ac:dyDescent="0.3"/>
    <row r="40" s="139" customFormat="1" x14ac:dyDescent="0.3"/>
    <row r="41" s="139" customFormat="1" x14ac:dyDescent="0.3"/>
    <row r="42" s="139" customFormat="1" x14ac:dyDescent="0.3"/>
    <row r="43" s="139" customFormat="1" x14ac:dyDescent="0.3"/>
    <row r="44" s="139" customFormat="1" x14ac:dyDescent="0.3"/>
    <row r="45" s="139" customFormat="1" x14ac:dyDescent="0.3"/>
    <row r="46" s="139" customFormat="1" x14ac:dyDescent="0.3"/>
    <row r="47" s="139" customFormat="1" x14ac:dyDescent="0.3"/>
    <row r="48" s="139" customFormat="1" x14ac:dyDescent="0.3"/>
    <row r="49" s="139" customFormat="1" x14ac:dyDescent="0.3"/>
    <row r="50" s="139" customFormat="1" x14ac:dyDescent="0.3"/>
    <row r="51" s="139" customFormat="1" x14ac:dyDescent="0.3"/>
    <row r="52" s="139" customFormat="1" x14ac:dyDescent="0.3"/>
    <row r="53" s="139" customFormat="1" x14ac:dyDescent="0.3"/>
    <row r="54" s="139" customFormat="1" x14ac:dyDescent="0.3"/>
    <row r="55" s="139" customFormat="1" x14ac:dyDescent="0.3"/>
    <row r="56" s="139" customFormat="1" x14ac:dyDescent="0.3"/>
    <row r="57" s="139" customFormat="1" x14ac:dyDescent="0.3"/>
    <row r="58" s="139" customFormat="1" x14ac:dyDescent="0.3"/>
    <row r="59" s="139" customFormat="1" x14ac:dyDescent="0.3"/>
    <row r="60" s="139" customFormat="1" x14ac:dyDescent="0.3"/>
    <row r="61" s="139" customFormat="1" x14ac:dyDescent="0.3"/>
    <row r="62" s="139" customFormat="1" x14ac:dyDescent="0.3"/>
    <row r="63" s="139" customFormat="1" x14ac:dyDescent="0.3"/>
    <row r="64" s="139" customFormat="1" x14ac:dyDescent="0.3"/>
    <row r="65" s="139" customFormat="1" x14ac:dyDescent="0.3"/>
    <row r="66" s="139" customFormat="1" x14ac:dyDescent="0.3"/>
    <row r="67" s="139" customFormat="1" x14ac:dyDescent="0.3"/>
    <row r="68" s="139" customFormat="1" x14ac:dyDescent="0.3"/>
    <row r="69" s="139" customFormat="1" x14ac:dyDescent="0.3"/>
    <row r="70" s="139" customFormat="1" x14ac:dyDescent="0.3"/>
    <row r="71" s="139" customFormat="1" x14ac:dyDescent="0.3"/>
    <row r="72" s="139" customFormat="1" x14ac:dyDescent="0.3"/>
    <row r="73" s="139" customFormat="1" x14ac:dyDescent="0.3"/>
    <row r="74" s="139" customFormat="1" x14ac:dyDescent="0.3"/>
    <row r="75" s="139" customFormat="1" x14ac:dyDescent="0.3"/>
    <row r="76" s="139" customFormat="1" x14ac:dyDescent="0.3"/>
    <row r="77" s="139" customFormat="1" x14ac:dyDescent="0.3"/>
    <row r="78" s="139" customFormat="1" x14ac:dyDescent="0.3"/>
    <row r="79" s="139" customFormat="1" x14ac:dyDescent="0.3"/>
    <row r="80" s="139" customFormat="1" x14ac:dyDescent="0.3"/>
    <row r="81" spans="1:15" s="139" customFormat="1" x14ac:dyDescent="0.3"/>
    <row r="82" spans="1:15" s="139" customFormat="1" x14ac:dyDescent="0.3"/>
    <row r="83" spans="1:15" s="139" customFormat="1" x14ac:dyDescent="0.3"/>
    <row r="84" spans="1:15" s="139" customFormat="1" x14ac:dyDescent="0.3"/>
    <row r="85" spans="1:15" s="139" customFormat="1" x14ac:dyDescent="0.3"/>
    <row r="86" spans="1:15" s="139" customFormat="1" x14ac:dyDescent="0.3"/>
    <row r="87" spans="1:15" s="139" customFormat="1" x14ac:dyDescent="0.3"/>
    <row r="88" spans="1:15" s="139" customFormat="1" x14ac:dyDescent="0.3"/>
    <row r="89" spans="1:15" x14ac:dyDescent="0.3">
      <c r="A89" s="139"/>
      <c r="B89" s="139"/>
      <c r="C89" s="139"/>
      <c r="I89" s="139"/>
      <c r="J89" s="139"/>
      <c r="K89" s="139"/>
      <c r="L89" s="139"/>
      <c r="M89" s="139"/>
      <c r="N89" s="139"/>
      <c r="O89" s="139"/>
    </row>
    <row r="90" spans="1:15" x14ac:dyDescent="0.3">
      <c r="I90" s="139"/>
      <c r="J90" s="139"/>
      <c r="K90" s="139"/>
      <c r="L90" s="139"/>
      <c r="M90" s="139"/>
      <c r="N90" s="139"/>
      <c r="O90" s="139"/>
    </row>
  </sheetData>
  <sheetProtection algorithmName="SHA-512" hashValue="49Zi6wkWQapmY50oeycgN8lHrg0HB9Hk+GF40JR6lxI0N58Qt1AZmXtaHmDFXLchXzK2pfmeu7wHXctrgAa9Gw==" saltValue="mbd7GrKYx17RXf2XvGVwnw==" spinCount="100000" sheet="1" objects="1" scenarios="1"/>
  <mergeCells count="4">
    <mergeCell ref="A2:B2"/>
    <mergeCell ref="N14:O15"/>
    <mergeCell ref="E16:G18"/>
    <mergeCell ref="I22:O28"/>
  </mergeCells>
  <conditionalFormatting sqref="A19:A30">
    <cfRule type="expression" dxfId="158" priority="2" stopIfTrue="1">
      <formula>$B$20="N/A"</formula>
    </cfRule>
  </conditionalFormatting>
  <conditionalFormatting sqref="L6:L12 M7 M9:M10 A13:A17 L15 B16 L17 B21 B23 B25 B27 B30">
    <cfRule type="expression" dxfId="153" priority="7" stopIfTrue="1">
      <formula>$B$20="N/A"</formula>
    </cfRule>
  </conditionalFormatting>
  <conditionalFormatting sqref="L19">
    <cfRule type="expression" dxfId="152" priority="6" stopIfTrue="1">
      <formula>$B$20="N/A"</formula>
    </cfRule>
  </conditionalFormatting>
  <pageMargins left="0.7" right="0.7" top="0.75" bottom="0.75" header="0.3" footer="0.3"/>
  <pageSetup orientation="portrait" horizontalDpi="200" verticalDpi="200" r:id="rId1"/>
  <ignoredErrors>
    <ignoredError sqref="B26" evalError="1"/>
  </ignoredErrors>
  <drawing r:id="rId2"/>
  <extLst>
    <ext xmlns:x14="http://schemas.microsoft.com/office/spreadsheetml/2009/9/main" uri="{78C0D931-6437-407d-A8EE-F0AAD7539E65}">
      <x14:conditionalFormattings>
        <x14:conditionalFormatting xmlns:xm="http://schemas.microsoft.com/office/excel/2006/main">
          <x14:cfRule type="expression" priority="4" id="{54309863-C4F0-4F47-A1F5-EF1D35DCCAAB}">
            <xm:f>Input!$C$19="No"</xm:f>
            <x14:dxf>
              <font>
                <color theme="0"/>
              </font>
              <fill>
                <patternFill patternType="none">
                  <bgColor auto="1"/>
                </patternFill>
              </fill>
              <border>
                <left/>
                <right/>
                <top/>
                <bottom/>
                <vertical/>
                <horizontal/>
              </border>
            </x14:dxf>
          </x14:cfRule>
          <xm:sqref>A9:B9</xm:sqref>
        </x14:conditionalFormatting>
        <x14:conditionalFormatting xmlns:xm="http://schemas.microsoft.com/office/excel/2006/main">
          <x14:cfRule type="expression" priority="1" stopIfTrue="1" id="{174C3469-7AF1-4FC3-8DD9-B1906C7F593B}">
            <xm:f>Input!$C$19="No"</xm:f>
            <x14:dxf>
              <font>
                <color theme="0"/>
              </font>
              <fill>
                <patternFill patternType="none">
                  <bgColor auto="1"/>
                </patternFill>
              </fill>
              <border>
                <left/>
                <right/>
                <top/>
                <bottom/>
                <vertical/>
                <horizontal/>
              </border>
            </x14:dxf>
          </x14:cfRule>
          <xm:sqref>A26:B26</xm:sqref>
        </x14:conditionalFormatting>
        <x14:conditionalFormatting xmlns:xm="http://schemas.microsoft.com/office/excel/2006/main">
          <x14:cfRule type="cellIs" priority="5" operator="between" id="{A906A9F7-E125-40EA-A09C-417686DCECC4}">
            <xm:f>0</xm:f>
            <xm:f>Calculations!$G$47</xm:f>
            <x14:dxf>
              <fill>
                <patternFill>
                  <bgColor rgb="FFCCFFCC"/>
                </patternFill>
              </fill>
            </x14:dxf>
          </x14:cfRule>
          <xm:sqref>B19</xm:sqref>
        </x14:conditionalFormatting>
        <x14:conditionalFormatting xmlns:xm="http://schemas.microsoft.com/office/excel/2006/main">
          <x14:cfRule type="expression" priority="3" id="{DF400689-4BA0-46A6-B6B1-C356B37E453F}">
            <xm:f>Input!$C$19="No"</xm:f>
            <x14:dxf>
              <font>
                <color theme="0"/>
              </font>
            </x14:dxf>
          </x14:cfRule>
          <xm:sqref>C11</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tabColor theme="5" tint="0.39997558519241921"/>
    <pageSetUpPr fitToPage="1"/>
  </sheetPr>
  <dimension ref="A1:N56"/>
  <sheetViews>
    <sheetView showGridLines="0" zoomScaleNormal="100" workbookViewId="0">
      <selection activeCell="L54" sqref="L54"/>
    </sheetView>
  </sheetViews>
  <sheetFormatPr defaultColWidth="0" defaultRowHeight="0" customHeight="1" zeroHeight="1" x14ac:dyDescent="0.3"/>
  <cols>
    <col min="1" max="1" width="30" style="1" customWidth="1"/>
    <col min="2" max="2" width="16.54296875" style="1" customWidth="1"/>
    <col min="3" max="3" width="11.81640625" style="1" customWidth="1"/>
    <col min="4" max="4" width="2.453125" style="1" customWidth="1"/>
    <col min="5" max="5" width="15.1796875" style="1" customWidth="1"/>
    <col min="6" max="6" width="13.7265625" style="1" customWidth="1"/>
    <col min="7" max="7" width="14.54296875" style="1" customWidth="1"/>
    <col min="8" max="8" width="17.7265625" style="1" customWidth="1"/>
    <col min="9" max="9" width="17.54296875" style="1" customWidth="1"/>
    <col min="10" max="10" width="13.81640625" style="1" customWidth="1"/>
    <col min="11" max="11" width="2.81640625" style="1" customWidth="1"/>
    <col min="12" max="12" width="15.26953125" style="1" customWidth="1"/>
    <col min="13" max="13" width="16.81640625" style="1" customWidth="1"/>
    <col min="14" max="14" width="16" style="1" customWidth="1"/>
    <col min="15" max="15" width="0.81640625" style="1" customWidth="1"/>
    <col min="16" max="16384" width="0" style="1" hidden="1"/>
  </cols>
  <sheetData>
    <row r="1" spans="1:14" ht="18.75" customHeight="1" thickBot="1" x14ac:dyDescent="0.35">
      <c r="I1" s="120" t="s">
        <v>32</v>
      </c>
      <c r="L1" s="73"/>
      <c r="M1" s="86" t="s">
        <v>31</v>
      </c>
      <c r="N1" s="73"/>
    </row>
    <row r="2" spans="1:14" ht="17.5" x14ac:dyDescent="0.35">
      <c r="A2" s="311" t="str">
        <f>Input!$C$9&amp;" TAX EXTENSION WORKSHEET"</f>
        <v>2025 TAX EXTENSION WORKSHEET</v>
      </c>
      <c r="B2" s="311"/>
      <c r="C2" s="311"/>
      <c r="F2" s="75"/>
      <c r="G2" s="75"/>
      <c r="H2" s="75" t="str">
        <f>"Estimated % Change to Existing EAV for "&amp;Input!$C$9&amp;" "</f>
        <v xml:space="preserve">Estimated % Change to Existing EAV for 2025 </v>
      </c>
      <c r="I2" s="87">
        <f>Calculations!H5</f>
        <v>0</v>
      </c>
      <c r="L2" s="85"/>
      <c r="M2" s="102" t="s">
        <v>155</v>
      </c>
      <c r="N2" s="84"/>
    </row>
    <row r="3" spans="1:14" ht="2.5" customHeight="1" x14ac:dyDescent="0.35">
      <c r="A3" s="201"/>
      <c r="B3" s="201"/>
      <c r="C3" s="201"/>
      <c r="F3" s="75"/>
      <c r="G3" s="75"/>
      <c r="H3" s="75"/>
      <c r="I3" s="75"/>
      <c r="L3" s="202"/>
      <c r="M3" s="238" t="s">
        <v>169</v>
      </c>
      <c r="N3" s="203"/>
    </row>
    <row r="4" spans="1:14" ht="15" x14ac:dyDescent="0.3">
      <c r="F4" s="75"/>
      <c r="G4" s="75"/>
      <c r="H4" s="75" t="str">
        <f>"Estimated New Property for "&amp;Input!$C$9&amp;" "</f>
        <v xml:space="preserve">Estimated New Property for 2025 </v>
      </c>
      <c r="I4" s="53">
        <f>IF(Input!$C$19="Yes",Input!$C$38,0)</f>
        <v>0</v>
      </c>
      <c r="L4" s="70"/>
      <c r="M4" s="100" t="s">
        <v>30</v>
      </c>
      <c r="N4" s="71"/>
    </row>
    <row r="5" spans="1:14" ht="2.15" customHeight="1" x14ac:dyDescent="0.3">
      <c r="F5" s="75"/>
      <c r="G5" s="75"/>
      <c r="H5" s="75"/>
      <c r="I5" s="75"/>
      <c r="L5" s="70"/>
      <c r="M5" s="100"/>
      <c r="N5" s="71"/>
    </row>
    <row r="6" spans="1:14" ht="15.5" thickBot="1" x14ac:dyDescent="0.35">
      <c r="F6" s="74"/>
      <c r="G6" s="74"/>
      <c r="H6" s="75" t="str">
        <f>"Estimated Total EAV for "&amp;Input!$C$9&amp;" "</f>
        <v xml:space="preserve">Estimated Total EAV for 2025 </v>
      </c>
      <c r="I6" s="92">
        <f>Input!$C$40</f>
        <v>0</v>
      </c>
      <c r="J6" s="50"/>
      <c r="L6" s="93"/>
      <c r="M6" s="101" t="s">
        <v>34</v>
      </c>
      <c r="N6" s="94"/>
    </row>
    <row r="7" spans="1:14" ht="15" x14ac:dyDescent="0.3">
      <c r="F7" s="75"/>
      <c r="G7" s="75"/>
      <c r="H7" s="75" t="str">
        <f>"Estimated Total EAV Change for "&amp;Input!$C$9&amp;" "</f>
        <v xml:space="preserve">Estimated Total EAV Change for 2025 </v>
      </c>
      <c r="I7" s="89" t="e">
        <f>Input!$C$41</f>
        <v>#DIV/0!</v>
      </c>
      <c r="J7" s="50"/>
    </row>
    <row r="8" spans="1:14" ht="12" customHeight="1" thickBot="1" x14ac:dyDescent="0.35">
      <c r="F8" s="75"/>
      <c r="G8" s="75"/>
      <c r="H8" s="75"/>
      <c r="I8" s="118"/>
      <c r="J8" s="50"/>
    </row>
    <row r="9" spans="1:14" ht="18" customHeight="1" x14ac:dyDescent="0.3">
      <c r="A9" s="278"/>
      <c r="B9" s="44"/>
      <c r="C9" s="44"/>
      <c r="D9" s="44"/>
      <c r="E9" s="44"/>
      <c r="F9" s="106"/>
      <c r="G9" s="107"/>
      <c r="H9" s="107"/>
      <c r="I9" s="119" t="s">
        <v>36</v>
      </c>
      <c r="J9" s="108"/>
      <c r="K9" s="108"/>
      <c r="L9" s="108"/>
      <c r="M9" s="108"/>
      <c r="N9" s="109"/>
    </row>
    <row r="10" spans="1:14" ht="15.75" customHeight="1" x14ac:dyDescent="0.3">
      <c r="A10" s="278"/>
      <c r="B10" s="316" t="s">
        <v>88</v>
      </c>
      <c r="C10" s="316" t="s">
        <v>89</v>
      </c>
      <c r="D10" s="316"/>
      <c r="E10" s="45"/>
      <c r="F10" s="110"/>
      <c r="G10" s="75"/>
      <c r="H10" s="75" t="str">
        <f>"Actual % Change to Existing EAV for "&amp;Input!$C$9&amp;" "</f>
        <v xml:space="preserve">Actual % Change to Existing EAV for 2025 </v>
      </c>
      <c r="I10" s="88">
        <f>Calculations!H5</f>
        <v>0</v>
      </c>
      <c r="J10" s="50" t="s">
        <v>61</v>
      </c>
      <c r="N10" s="111"/>
    </row>
    <row r="11" spans="1:14" ht="15" x14ac:dyDescent="0.3">
      <c r="A11" s="11"/>
      <c r="B11" s="317"/>
      <c r="C11" s="317"/>
      <c r="D11" s="317"/>
      <c r="E11" s="45"/>
      <c r="F11" s="110"/>
      <c r="G11" s="75"/>
      <c r="H11" s="75" t="str">
        <f>"Actual New Property for "&amp;Input!$C$9&amp;" "</f>
        <v xml:space="preserve">Actual New Property for 2025 </v>
      </c>
      <c r="I11" s="54">
        <f>Calculations!H8</f>
        <v>0</v>
      </c>
      <c r="J11" s="50" t="s">
        <v>62</v>
      </c>
      <c r="N11" s="111"/>
    </row>
    <row r="12" spans="1:14" ht="15" x14ac:dyDescent="0.3">
      <c r="A12" s="5" t="s">
        <v>52</v>
      </c>
      <c r="B12" s="95" t="e">
        <f>IF(Input!C19="Yes",Input!$D$74*(1+MIN(0.05,Input!$C$28))/(Input!$C$40-Input!$C$38)*100,"N/A")</f>
        <v>#DIV/0!</v>
      </c>
      <c r="C12" s="312" t="e">
        <f>IF(Input!C19="Yes",Input!$D$74*(1+MIN(0.05,Input!$C$28))/(I12-I11)*100,"N/A")</f>
        <v>#DIV/0!</v>
      </c>
      <c r="D12" s="313"/>
      <c r="F12" s="110"/>
      <c r="G12" s="75"/>
      <c r="H12" s="75" t="str">
        <f>"Actual Total EAV for "&amp;Input!$C$9&amp;" "</f>
        <v xml:space="preserve">Actual Total EAV for 2025 </v>
      </c>
      <c r="I12" s="92">
        <f>Input!C30*(1+Extension!I10)+IF(Input!$C$19="Yes",Extension!I11,0)</f>
        <v>0</v>
      </c>
      <c r="J12" s="50"/>
      <c r="N12" s="111"/>
    </row>
    <row r="13" spans="1:14" ht="15" x14ac:dyDescent="0.3">
      <c r="A13" s="5" t="s">
        <v>63</v>
      </c>
      <c r="B13" s="58" t="e">
        <f>IF(Input!C19="Yes",($B$12*Input!$C$40)/100,"N/A")</f>
        <v>#DIV/0!</v>
      </c>
      <c r="C13" s="314" t="e">
        <f>IF(Input!C19="Yes",($C$12*$I$12)/100,"N/A")</f>
        <v>#DIV/0!</v>
      </c>
      <c r="D13" s="315"/>
      <c r="E13" s="43"/>
      <c r="F13" s="110"/>
      <c r="G13" s="75"/>
      <c r="H13" s="75" t="str">
        <f>"Actual Total EAV Change for "&amp;Input!$C$9&amp;" "</f>
        <v xml:space="preserve">Actual Total EAV Change for 2025 </v>
      </c>
      <c r="I13" s="90" t="e">
        <f>I12/Input!$C$30-1</f>
        <v>#DIV/0!</v>
      </c>
      <c r="J13" s="50"/>
      <c r="N13" s="111"/>
    </row>
    <row r="14" spans="1:14" ht="15.75" customHeight="1" x14ac:dyDescent="0.3">
      <c r="F14" s="112"/>
      <c r="J14" s="113" t="s">
        <v>65</v>
      </c>
      <c r="N14" s="111"/>
    </row>
    <row r="15" spans="1:14" ht="15" x14ac:dyDescent="0.3">
      <c r="F15" s="112"/>
      <c r="H15" s="5" t="s">
        <v>64</v>
      </c>
      <c r="I15" s="56" t="e">
        <f>IF(C12&gt;G45,"N/A",$C$12/$G$45)</f>
        <v>#DIV/0!</v>
      </c>
      <c r="J15" s="130" t="str">
        <f>IF(Input!C19="No"," YES - All Available Property Tax Dollars Have Been Captured"," YES - All Available Tax Capped Dollars Have Been Captured")</f>
        <v xml:space="preserve"> YES - All Available Tax Capped Dollars Have Been Captured</v>
      </c>
      <c r="K15" s="131"/>
      <c r="L15" s="131"/>
      <c r="M15" s="131"/>
      <c r="N15" s="132"/>
    </row>
    <row r="16" spans="1:14" ht="15" x14ac:dyDescent="0.3">
      <c r="F16" s="112"/>
      <c r="H16" s="5" t="str">
        <f>IF(Input!C19="Yes","Amount Below Allowable PTELL ","Amount Below Available Extension ")</f>
        <v xml:space="preserve">Amount Below Allowable PTELL </v>
      </c>
      <c r="I16" s="197" t="e">
        <f>IF(Input!C19="No",IF(Extension!I45&lt;Extension!H45,Extension!I45-Extension!H45,""),IF(I15="N/A",I45-C13,""))</f>
        <v>#DIV/0!</v>
      </c>
      <c r="J16" s="127" t="e">
        <f>IF(I16&lt;0," ALERT - Levy Increase Needed to Capture All Available Property Taxes","")</f>
        <v>#DIV/0!</v>
      </c>
      <c r="N16" s="111"/>
    </row>
    <row r="17" spans="1:14" ht="12" customHeight="1" thickBot="1" x14ac:dyDescent="0.35">
      <c r="A17" s="5"/>
      <c r="B17" s="5"/>
      <c r="F17" s="114"/>
      <c r="G17" s="115"/>
      <c r="H17" s="115"/>
      <c r="I17" s="115"/>
      <c r="J17" s="116"/>
      <c r="K17" s="115"/>
      <c r="L17" s="115"/>
      <c r="M17" s="115"/>
      <c r="N17" s="117"/>
    </row>
    <row r="18" spans="1:14" ht="18" customHeight="1" x14ac:dyDescent="0.3">
      <c r="G18" s="318" t="str">
        <f>IF(Input!C19="No","Maximum Extension Factor",IF(Input!C21="no","Maximum Calculated Tax Rate","Maximum Tax Rate using Prior Year EAV"))</f>
        <v>Maximum Calculated Tax Rate</v>
      </c>
      <c r="H18" s="318" t="str">
        <f>IF(Input!C19="No","Scenario Calculated Maximum Extension ","Maximum Allowable Extension")</f>
        <v>Maximum Allowable Extension</v>
      </c>
      <c r="I18" s="318" t="str">
        <f>IF(Input!$C$19="Yes","Maximum Allowable Extension x Reduction Factor","Scenario Calculated Extension")</f>
        <v>Maximum Allowable Extension x Reduction Factor</v>
      </c>
      <c r="J18" s="318" t="s">
        <v>67</v>
      </c>
      <c r="N18" s="318" t="s">
        <v>70</v>
      </c>
    </row>
    <row r="19" spans="1:14" ht="37.9" customHeight="1" x14ac:dyDescent="0.3">
      <c r="B19" s="8" t="s">
        <v>85</v>
      </c>
      <c r="C19" s="8" t="s">
        <v>66</v>
      </c>
      <c r="E19" s="8" t="s">
        <v>71</v>
      </c>
      <c r="F19" s="8" t="s">
        <v>80</v>
      </c>
      <c r="G19" s="294"/>
      <c r="H19" s="294"/>
      <c r="I19" s="294"/>
      <c r="J19" s="294"/>
      <c r="L19" s="8" t="s">
        <v>68</v>
      </c>
      <c r="M19" s="8" t="s">
        <v>69</v>
      </c>
      <c r="N19" s="294"/>
    </row>
    <row r="20" spans="1:14" ht="15" x14ac:dyDescent="0.3">
      <c r="A20" s="75" t="str">
        <f>Calculations!A14</f>
        <v xml:space="preserve">Corporate </v>
      </c>
      <c r="B20" s="53" t="e">
        <f>Calculations!J14</f>
        <v>#DIV/0!</v>
      </c>
      <c r="C20" s="57">
        <v>0</v>
      </c>
      <c r="E20" s="53" t="e">
        <f>B20*(1+C20)</f>
        <v>#DIV/0!</v>
      </c>
      <c r="F20" s="96" t="e">
        <f>(E20/$I$12)*100</f>
        <v>#DIV/0!</v>
      </c>
      <c r="G20" s="96" t="e">
        <f>IF(Input!$C$19="No",IF(Input!C50&gt;0,Input!C50,"Levy"),IF(Input!$C$21="no",IF(Input!C50&gt;0,MIN(Input!C50,F20),F20),IF(Input!C50&gt;0,MIN(Input!C50,Input!C50*(Input!$C$30+$I$11)/Extension!$I$12,F20),F20)))</f>
        <v>#DIV/0!</v>
      </c>
      <c r="H20" s="59" t="e">
        <f>IF(G20="Levy",E20,((G20*$I$12)/100))</f>
        <v>#DIV/0!</v>
      </c>
      <c r="I20" s="59" t="e">
        <f>IF(Input!$C$19="Yes",IF($I$15="N/A",H20,H20*$I$15),IF(Extension!E20&lt;Extension!H20,Extension!E20,Extension!H20))</f>
        <v>#DIV/0!</v>
      </c>
      <c r="J20" s="96" t="e">
        <f>(I20/$I$12)*100</f>
        <v>#DIV/0!</v>
      </c>
      <c r="L20" s="60">
        <v>0</v>
      </c>
      <c r="M20" s="59" t="e">
        <f>I20+L20</f>
        <v>#DIV/0!</v>
      </c>
      <c r="N20" s="96" t="e">
        <f>IF(M20=0,0,M20/$I$12)*100</f>
        <v>#DIV/0!</v>
      </c>
    </row>
    <row r="21" spans="1:14" ht="15" x14ac:dyDescent="0.3">
      <c r="A21" s="75" t="str">
        <f>Calculations!A15</f>
        <v xml:space="preserve">Police Protection </v>
      </c>
      <c r="B21" s="53" t="e">
        <f>Calculations!J15</f>
        <v>#DIV/0!</v>
      </c>
      <c r="C21" s="57">
        <v>0</v>
      </c>
      <c r="E21" s="53" t="e">
        <f t="shared" ref="E21:E41" si="0">B21*(1+C21)</f>
        <v>#DIV/0!</v>
      </c>
      <c r="F21" s="96" t="e">
        <f t="shared" ref="F21:F41" si="1">(E21/$I$12)*100</f>
        <v>#DIV/0!</v>
      </c>
      <c r="G21" s="96" t="e">
        <f>IF(Input!$C$19="No",IF(Input!C51&gt;0,Input!C51,"Levy"),IF(Input!$C$21="no",IF(Input!C51&gt;0,MIN(Input!C51,F21),F21),IF(Input!C51&gt;0,MIN(Input!C51,Input!C51*(Input!$C$30+$I$11)/Extension!$I$12,F21),F21)))</f>
        <v>#DIV/0!</v>
      </c>
      <c r="H21" s="59" t="e">
        <f t="shared" ref="H21:H23" si="2">IF(G21="Levy",E21,((G21*$I$12)/100))</f>
        <v>#DIV/0!</v>
      </c>
      <c r="I21" s="59" t="e">
        <f>IF(Input!$C$19="Yes",IF($I$15="N/A",H21,H21*$I$15),IF(Extension!E21&lt;Extension!H21,Extension!E21,Extension!H21))</f>
        <v>#DIV/0!</v>
      </c>
      <c r="J21" s="96" t="e">
        <f t="shared" ref="J21:J41" si="3">(I21/$I$12)*100</f>
        <v>#DIV/0!</v>
      </c>
      <c r="L21" s="60">
        <v>0</v>
      </c>
      <c r="M21" s="59" t="e">
        <f t="shared" ref="M21:M41" si="4">I21+L21</f>
        <v>#DIV/0!</v>
      </c>
      <c r="N21" s="96" t="e">
        <f t="shared" ref="N21:N41" si="5">IF(M21=0,0,M21/$I$12)*100</f>
        <v>#DIV/0!</v>
      </c>
    </row>
    <row r="22" spans="1:14" ht="15" x14ac:dyDescent="0.3">
      <c r="A22" s="75" t="str">
        <f>Calculations!A16</f>
        <v xml:space="preserve">Fire Protection </v>
      </c>
      <c r="B22" s="53" t="e">
        <f>Calculations!J16</f>
        <v>#DIV/0!</v>
      </c>
      <c r="C22" s="57">
        <v>0</v>
      </c>
      <c r="E22" s="53" t="e">
        <f t="shared" si="0"/>
        <v>#DIV/0!</v>
      </c>
      <c r="F22" s="96" t="e">
        <f t="shared" si="1"/>
        <v>#DIV/0!</v>
      </c>
      <c r="G22" s="96" t="e">
        <f>IF(Input!$C$19="No",IF(Input!C52&gt;0,Input!C52,"Levy"),IF(Input!$C$21="no",IF(Input!C52&gt;0,MIN(Input!C52,F22),F22),IF(Input!C52&gt;0,MIN(Input!C52,Input!C52*(Input!$C$30+$I$11)/Extension!$I$12,F22),F22)))</f>
        <v>#DIV/0!</v>
      </c>
      <c r="H22" s="59" t="e">
        <f t="shared" si="2"/>
        <v>#DIV/0!</v>
      </c>
      <c r="I22" s="59" t="e">
        <f>IF(Input!$C$19="Yes",IF($I$15="N/A",H22,H22*$I$15),IF(Extension!E22&lt;Extension!H22,Extension!E22,Extension!H22))</f>
        <v>#DIV/0!</v>
      </c>
      <c r="J22" s="96" t="e">
        <f t="shared" si="3"/>
        <v>#DIV/0!</v>
      </c>
      <c r="L22" s="60">
        <v>0</v>
      </c>
      <c r="M22" s="59" t="e">
        <f t="shared" si="4"/>
        <v>#DIV/0!</v>
      </c>
      <c r="N22" s="96" t="e">
        <f t="shared" si="5"/>
        <v>#DIV/0!</v>
      </c>
    </row>
    <row r="23" spans="1:14" ht="15" x14ac:dyDescent="0.3">
      <c r="A23" s="75" t="str">
        <f>Calculations!A17</f>
        <v xml:space="preserve">Auditing </v>
      </c>
      <c r="B23" s="53" t="e">
        <f>Calculations!J17</f>
        <v>#DIV/0!</v>
      </c>
      <c r="C23" s="57">
        <v>0</v>
      </c>
      <c r="E23" s="53" t="e">
        <f t="shared" si="0"/>
        <v>#DIV/0!</v>
      </c>
      <c r="F23" s="96" t="e">
        <f t="shared" si="1"/>
        <v>#DIV/0!</v>
      </c>
      <c r="G23" s="96" t="e">
        <f>IF(Input!$C$19="No",IF(Input!C53&gt;0,Input!C53,"Levy"),IF(Input!$C$21="no",IF(Input!C53&gt;0,MIN(Input!C53,F23),F23),IF(Input!C53&gt;0,MIN(Input!C53,Input!C53*(Input!$C$30+$I$11)/Extension!$I$12,F23),F23)))</f>
        <v>#DIV/0!</v>
      </c>
      <c r="H23" s="59" t="e">
        <f t="shared" si="2"/>
        <v>#DIV/0!</v>
      </c>
      <c r="I23" s="59" t="e">
        <f>IF(Input!$C$19="Yes",IF($I$15="N/A",H23,H23*$I$15),IF(Extension!E23&lt;Extension!H23,Extension!E23,Extension!H23))</f>
        <v>#DIV/0!</v>
      </c>
      <c r="J23" s="96" t="e">
        <f t="shared" si="3"/>
        <v>#DIV/0!</v>
      </c>
      <c r="L23" s="60">
        <v>0</v>
      </c>
      <c r="M23" s="59" t="e">
        <f t="shared" si="4"/>
        <v>#DIV/0!</v>
      </c>
      <c r="N23" s="96" t="e">
        <f t="shared" si="5"/>
        <v>#DIV/0!</v>
      </c>
    </row>
    <row r="24" spans="1:14" ht="15" x14ac:dyDescent="0.3">
      <c r="A24" s="75" t="str">
        <f>Calculations!A18</f>
        <v xml:space="preserve">Municipal Retirement </v>
      </c>
      <c r="B24" s="53" t="e">
        <f>Calculations!J18</f>
        <v>#DIV/0!</v>
      </c>
      <c r="C24" s="57">
        <v>0</v>
      </c>
      <c r="E24" s="53" t="e">
        <f t="shared" si="0"/>
        <v>#DIV/0!</v>
      </c>
      <c r="F24" s="96" t="e">
        <f t="shared" si="1"/>
        <v>#DIV/0!</v>
      </c>
      <c r="G24" s="96" t="e">
        <f>IF(Input!$C$19="No",IF(Input!C54&gt;0,Input!C54,"Levy"),IF(Input!$C$21="no",IF(Input!C54&gt;0,MIN(Input!C54,F24),F24),IF(Input!C54&gt;0,MIN(Input!C54,Input!C54*(Input!$C$30+$I$11)/Extension!$I$12,F24),F24)))</f>
        <v>#DIV/0!</v>
      </c>
      <c r="H24" s="59" t="e">
        <f t="shared" ref="H24:H41" si="6">IF(G24="Levy",E24,((G24*$I$12)/100))</f>
        <v>#DIV/0!</v>
      </c>
      <c r="I24" s="59" t="e">
        <f>IF(Input!$C$19="Yes",IF($I$15="N/A",H24,H24*$I$15),IF(Extension!E24&lt;Extension!H24,Extension!E24,Extension!H24))</f>
        <v>#DIV/0!</v>
      </c>
      <c r="J24" s="96" t="e">
        <f t="shared" ref="J24:J38" si="7">(I24/$I$12)*100</f>
        <v>#DIV/0!</v>
      </c>
      <c r="L24" s="60">
        <v>0</v>
      </c>
      <c r="M24" s="59" t="e">
        <f t="shared" si="4"/>
        <v>#DIV/0!</v>
      </c>
      <c r="N24" s="96" t="e">
        <f t="shared" si="5"/>
        <v>#DIV/0!</v>
      </c>
    </row>
    <row r="25" spans="1:14" ht="15" x14ac:dyDescent="0.3">
      <c r="A25" s="75" t="str">
        <f>Calculations!A19</f>
        <v xml:space="preserve">Unemployment Insurance </v>
      </c>
      <c r="B25" s="53" t="e">
        <f>Calculations!J19</f>
        <v>#DIV/0!</v>
      </c>
      <c r="C25" s="57">
        <v>0</v>
      </c>
      <c r="E25" s="53" t="e">
        <f t="shared" si="0"/>
        <v>#DIV/0!</v>
      </c>
      <c r="F25" s="96" t="e">
        <f t="shared" si="1"/>
        <v>#DIV/0!</v>
      </c>
      <c r="G25" s="96" t="e">
        <f>IF(Input!$C$19="No",IF(Input!C55&gt;0,Input!C55,"Levy"),IF(Input!$C$21="no",IF(Input!C55&gt;0,MIN(Input!C55,F25),F25),IF(Input!C55&gt;0,MIN(Input!C55,Input!C55*(Input!$C$30+$I$11)/Extension!$I$12,F25),F25)))</f>
        <v>#DIV/0!</v>
      </c>
      <c r="H25" s="59" t="e">
        <f t="shared" si="6"/>
        <v>#DIV/0!</v>
      </c>
      <c r="I25" s="59" t="e">
        <f>IF(Input!$C$19="Yes",IF($I$15="N/A",H25,H25*$I$15),IF(Extension!E25&lt;Extension!H25,Extension!E25,Extension!H25))</f>
        <v>#DIV/0!</v>
      </c>
      <c r="J25" s="96" t="e">
        <f t="shared" si="7"/>
        <v>#DIV/0!</v>
      </c>
      <c r="L25" s="60">
        <v>0</v>
      </c>
      <c r="M25" s="59" t="e">
        <f t="shared" si="4"/>
        <v>#DIV/0!</v>
      </c>
      <c r="N25" s="96" t="e">
        <f t="shared" si="5"/>
        <v>#DIV/0!</v>
      </c>
    </row>
    <row r="26" spans="1:14" ht="15" x14ac:dyDescent="0.3">
      <c r="A26" s="75" t="str">
        <f>Calculations!A20</f>
        <v xml:space="preserve">Workman's Compensation </v>
      </c>
      <c r="B26" s="53" t="e">
        <f>Calculations!J20</f>
        <v>#DIV/0!</v>
      </c>
      <c r="C26" s="57">
        <v>0</v>
      </c>
      <c r="E26" s="53" t="e">
        <f t="shared" si="0"/>
        <v>#DIV/0!</v>
      </c>
      <c r="F26" s="96" t="e">
        <f t="shared" si="1"/>
        <v>#DIV/0!</v>
      </c>
      <c r="G26" s="96" t="e">
        <f>IF(Input!$C$19="No",IF(Input!C56&gt;0,Input!C56,"Levy"),IF(Input!$C$21="no",IF(Input!C56&gt;0,MIN(Input!C56,F26),F26),IF(Input!C56&gt;0,MIN(Input!C56,Input!C56*(Input!$C$30+$I$11)/Extension!$I$12,F26),F26)))</f>
        <v>#DIV/0!</v>
      </c>
      <c r="H26" s="59" t="e">
        <f t="shared" si="6"/>
        <v>#DIV/0!</v>
      </c>
      <c r="I26" s="59" t="e">
        <f>IF(Input!$C$19="Yes",IF($I$15="N/A",H26,H26*$I$15),IF(Extension!E26&lt;Extension!H26,Extension!E26,Extension!H26))</f>
        <v>#DIV/0!</v>
      </c>
      <c r="J26" s="96" t="e">
        <f t="shared" si="7"/>
        <v>#DIV/0!</v>
      </c>
      <c r="L26" s="60">
        <v>0</v>
      </c>
      <c r="M26" s="59" t="e">
        <f t="shared" si="4"/>
        <v>#DIV/0!</v>
      </c>
      <c r="N26" s="96" t="e">
        <f t="shared" si="5"/>
        <v>#DIV/0!</v>
      </c>
    </row>
    <row r="27" spans="1:14" ht="15" x14ac:dyDescent="0.3">
      <c r="A27" s="75" t="str">
        <f>Calculations!A21</f>
        <v xml:space="preserve">Social Security </v>
      </c>
      <c r="B27" s="53" t="e">
        <f>Calculations!J21</f>
        <v>#DIV/0!</v>
      </c>
      <c r="C27" s="57">
        <v>0</v>
      </c>
      <c r="E27" s="53" t="e">
        <f t="shared" si="0"/>
        <v>#DIV/0!</v>
      </c>
      <c r="F27" s="96" t="e">
        <f t="shared" si="1"/>
        <v>#DIV/0!</v>
      </c>
      <c r="G27" s="96" t="e">
        <f>IF(Input!$C$19="No",IF(Input!C57&gt;0,Input!C57,"Levy"),IF(Input!$C$21="no",IF(Input!C57&gt;0,MIN(Input!C57,F27),F27),IF(Input!C57&gt;0,MIN(Input!C57,Input!C57*(Input!$C$30+$I$11)/Extension!$I$12,F27),F27)))</f>
        <v>#DIV/0!</v>
      </c>
      <c r="H27" s="59" t="e">
        <f t="shared" si="6"/>
        <v>#DIV/0!</v>
      </c>
      <c r="I27" s="59" t="e">
        <f>IF(Input!$C$19="Yes",IF($I$15="N/A",H27,H27*$I$15),IF(Extension!E27&lt;Extension!H27,Extension!E27,Extension!H27))</f>
        <v>#DIV/0!</v>
      </c>
      <c r="J27" s="96" t="e">
        <f t="shared" si="7"/>
        <v>#DIV/0!</v>
      </c>
      <c r="L27" s="60">
        <v>0</v>
      </c>
      <c r="M27" s="59" t="e">
        <f t="shared" si="4"/>
        <v>#DIV/0!</v>
      </c>
      <c r="N27" s="96" t="e">
        <f t="shared" si="5"/>
        <v>#DIV/0!</v>
      </c>
    </row>
    <row r="28" spans="1:14" ht="15" x14ac:dyDescent="0.3">
      <c r="A28" s="75" t="str">
        <f>Calculations!A22</f>
        <v xml:space="preserve">Liability Insurance </v>
      </c>
      <c r="B28" s="53" t="e">
        <f>Calculations!J22</f>
        <v>#DIV/0!</v>
      </c>
      <c r="C28" s="57">
        <v>0</v>
      </c>
      <c r="E28" s="53" t="e">
        <f t="shared" si="0"/>
        <v>#DIV/0!</v>
      </c>
      <c r="F28" s="96" t="e">
        <f t="shared" si="1"/>
        <v>#DIV/0!</v>
      </c>
      <c r="G28" s="96" t="e">
        <f>IF(Input!$C$19="No",IF(Input!C58&gt;0,Input!C58,"Levy"),IF(Input!$C$21="no",IF(Input!C58&gt;0,MIN(Input!C58,F28),F28),IF(Input!C58&gt;0,MIN(Input!C58,Input!C58*(Input!$C$30+$I$11)/Extension!$I$12,F28),F28)))</f>
        <v>#DIV/0!</v>
      </c>
      <c r="H28" s="59" t="e">
        <f t="shared" si="6"/>
        <v>#DIV/0!</v>
      </c>
      <c r="I28" s="59" t="e">
        <f>IF(Input!$C$19="Yes",IF($I$15="N/A",H28,H28*$I$15),IF(Extension!E28&lt;Extension!H28,Extension!E28,Extension!H28))</f>
        <v>#DIV/0!</v>
      </c>
      <c r="J28" s="96" t="e">
        <f t="shared" si="7"/>
        <v>#DIV/0!</v>
      </c>
      <c r="L28" s="60">
        <v>0</v>
      </c>
      <c r="M28" s="59" t="e">
        <f t="shared" si="4"/>
        <v>#DIV/0!</v>
      </c>
      <c r="N28" s="96" t="e">
        <f t="shared" si="5"/>
        <v>#DIV/0!</v>
      </c>
    </row>
    <row r="29" spans="1:14" ht="15" x14ac:dyDescent="0.3">
      <c r="A29" s="75" t="str">
        <f>Calculations!A23</f>
        <v xml:space="preserve">Police Pension </v>
      </c>
      <c r="B29" s="53" t="e">
        <f>Calculations!J23</f>
        <v>#DIV/0!</v>
      </c>
      <c r="C29" s="57">
        <v>0</v>
      </c>
      <c r="E29" s="53" t="e">
        <f t="shared" si="0"/>
        <v>#DIV/0!</v>
      </c>
      <c r="F29" s="96" t="e">
        <f t="shared" si="1"/>
        <v>#DIV/0!</v>
      </c>
      <c r="G29" s="96" t="e">
        <f>IF(Input!$C$19="No",IF(Input!C59&gt;0,Input!C59,"Levy"),IF(Input!$C$21="no",IF(Input!C59&gt;0,MIN(Input!C59,F29),F29),IF(Input!C59&gt;0,MIN(Input!C59,Input!C59*(Input!$C$30+$I$11)/Extension!$I$12,F29),F29)))</f>
        <v>#DIV/0!</v>
      </c>
      <c r="H29" s="59" t="e">
        <f t="shared" si="6"/>
        <v>#DIV/0!</v>
      </c>
      <c r="I29" s="59" t="e">
        <f>IF(Input!$C$19="Yes",IF($I$15="N/A",H29,H29*$I$15),IF(Extension!E29&lt;Extension!H29,Extension!E29,Extension!H29))</f>
        <v>#DIV/0!</v>
      </c>
      <c r="J29" s="96" t="e">
        <f t="shared" si="7"/>
        <v>#DIV/0!</v>
      </c>
      <c r="L29" s="60">
        <v>0</v>
      </c>
      <c r="M29" s="59" t="e">
        <f t="shared" ref="M29:M36" si="8">I29+L29</f>
        <v>#DIV/0!</v>
      </c>
      <c r="N29" s="96" t="e">
        <f t="shared" ref="N29:N36" si="9">IF(M29=0,0,M29/$I$12)*100</f>
        <v>#DIV/0!</v>
      </c>
    </row>
    <row r="30" spans="1:14" ht="15" x14ac:dyDescent="0.3">
      <c r="A30" s="75" t="str">
        <f>Calculations!A24</f>
        <v xml:space="preserve">Fire Pension </v>
      </c>
      <c r="B30" s="53" t="e">
        <f>Calculations!J24</f>
        <v>#DIV/0!</v>
      </c>
      <c r="C30" s="57">
        <v>0</v>
      </c>
      <c r="E30" s="53" t="e">
        <f t="shared" si="0"/>
        <v>#DIV/0!</v>
      </c>
      <c r="F30" s="96" t="e">
        <f t="shared" si="1"/>
        <v>#DIV/0!</v>
      </c>
      <c r="G30" s="96" t="e">
        <f>IF(Input!$C$19="No",IF(Input!C60&gt;0,Input!C60,"Levy"),IF(Input!$C$21="no",IF(Input!C60&gt;0,MIN(Input!C60,F30),F30),IF(Input!C60&gt;0,MIN(Input!C60,Input!C60*(Input!$C$30+$I$11)/Extension!$I$12,F30),F30)))</f>
        <v>#DIV/0!</v>
      </c>
      <c r="H30" s="59" t="e">
        <f t="shared" si="6"/>
        <v>#DIV/0!</v>
      </c>
      <c r="I30" s="59" t="e">
        <f>IF(Input!$C$19="Yes",IF($I$15="N/A",H30,H30*$I$15),IF(Extension!E30&lt;Extension!H30,Extension!E30,Extension!H30))</f>
        <v>#DIV/0!</v>
      </c>
      <c r="J30" s="96" t="e">
        <f t="shared" si="7"/>
        <v>#DIV/0!</v>
      </c>
      <c r="L30" s="60">
        <v>0</v>
      </c>
      <c r="M30" s="59" t="e">
        <f t="shared" si="8"/>
        <v>#DIV/0!</v>
      </c>
      <c r="N30" s="96" t="e">
        <f t="shared" si="9"/>
        <v>#DIV/0!</v>
      </c>
    </row>
    <row r="31" spans="1:14" ht="15" x14ac:dyDescent="0.3">
      <c r="A31" s="75" t="str">
        <f>Calculations!A25</f>
        <v xml:space="preserve">Waterworks </v>
      </c>
      <c r="B31" s="53" t="e">
        <f>Calculations!J25</f>
        <v>#DIV/0!</v>
      </c>
      <c r="C31" s="57">
        <v>0</v>
      </c>
      <c r="E31" s="53" t="e">
        <f t="shared" si="0"/>
        <v>#DIV/0!</v>
      </c>
      <c r="F31" s="96" t="e">
        <f t="shared" si="1"/>
        <v>#DIV/0!</v>
      </c>
      <c r="G31" s="96" t="e">
        <f>IF(Input!$C$19="No",IF(Input!C61&gt;0,Input!C61,"Levy"),IF(Input!$C$21="no",IF(Input!C61&gt;0,MIN(Input!C61,F31),F31),IF(Input!C61&gt;0,MIN(Input!C61,Input!C61*(Input!$C$30+$I$11)/Extension!$I$12,F31),F31)))</f>
        <v>#DIV/0!</v>
      </c>
      <c r="H31" s="59" t="e">
        <f t="shared" si="6"/>
        <v>#DIV/0!</v>
      </c>
      <c r="I31" s="59" t="e">
        <f>IF(Input!$C$19="Yes",IF($I$15="N/A",H31,H31*$I$15),IF(Extension!E31&lt;Extension!H31,Extension!E31,Extension!H31))</f>
        <v>#DIV/0!</v>
      </c>
      <c r="J31" s="96" t="e">
        <f t="shared" si="7"/>
        <v>#DIV/0!</v>
      </c>
      <c r="L31" s="60">
        <v>0</v>
      </c>
      <c r="M31" s="59" t="e">
        <f t="shared" si="8"/>
        <v>#DIV/0!</v>
      </c>
      <c r="N31" s="96" t="e">
        <f t="shared" si="9"/>
        <v>#DIV/0!</v>
      </c>
    </row>
    <row r="32" spans="1:14" ht="15" x14ac:dyDescent="0.3">
      <c r="A32" s="75" t="str">
        <f>Calculations!A26</f>
        <v xml:space="preserve">Street &amp; Bridge </v>
      </c>
      <c r="B32" s="53" t="e">
        <f>Calculations!J26</f>
        <v>#DIV/0!</v>
      </c>
      <c r="C32" s="57">
        <v>0</v>
      </c>
      <c r="E32" s="53" t="e">
        <f t="shared" si="0"/>
        <v>#DIV/0!</v>
      </c>
      <c r="F32" s="96" t="e">
        <f t="shared" si="1"/>
        <v>#DIV/0!</v>
      </c>
      <c r="G32" s="96" t="e">
        <f>IF(Input!$C$19="No",IF(Input!C62&gt;0,Input!C62,"Levy"),IF(Input!$C$21="no",IF(Input!C62&gt;0,MIN(Input!C62,F32),F32),IF(Input!C62&gt;0,MIN(Input!C62,Input!C62*(Input!$C$30+$I$11)/Extension!$I$12,F32),F32)))</f>
        <v>#DIV/0!</v>
      </c>
      <c r="H32" s="59" t="e">
        <f t="shared" si="6"/>
        <v>#DIV/0!</v>
      </c>
      <c r="I32" s="59" t="e">
        <f>IF(Input!$C$19="Yes",IF($I$15="N/A",H32,H32*$I$15),IF(Extension!E32&lt;Extension!H32,Extension!E32,Extension!H32))</f>
        <v>#DIV/0!</v>
      </c>
      <c r="J32" s="96" t="e">
        <f t="shared" si="7"/>
        <v>#DIV/0!</v>
      </c>
      <c r="L32" s="60">
        <v>0</v>
      </c>
      <c r="M32" s="59" t="e">
        <f t="shared" si="8"/>
        <v>#DIV/0!</v>
      </c>
      <c r="N32" s="96" t="e">
        <f t="shared" si="9"/>
        <v>#DIV/0!</v>
      </c>
    </row>
    <row r="33" spans="1:14" ht="15" x14ac:dyDescent="0.3">
      <c r="A33" s="75" t="str">
        <f>Calculations!A27</f>
        <v xml:space="preserve">Playgrounds &amp; Rec </v>
      </c>
      <c r="B33" s="53" t="e">
        <f>Calculations!J27</f>
        <v>#DIV/0!</v>
      </c>
      <c r="C33" s="57">
        <v>0</v>
      </c>
      <c r="E33" s="53" t="e">
        <f t="shared" si="0"/>
        <v>#DIV/0!</v>
      </c>
      <c r="F33" s="96" t="e">
        <f t="shared" si="1"/>
        <v>#DIV/0!</v>
      </c>
      <c r="G33" s="96" t="e">
        <f>IF(Input!$C$19="No",IF(Input!C63&gt;0,Input!C63,"Levy"),IF(Input!$C$21="no",IF(Input!C63&gt;0,MIN(Input!C63,F33),F33),IF(Input!C63&gt;0,MIN(Input!C63,Input!C63*(Input!$C$30+$I$11)/Extension!$I$12,F33),F33)))</f>
        <v>#DIV/0!</v>
      </c>
      <c r="H33" s="59" t="e">
        <f t="shared" si="6"/>
        <v>#DIV/0!</v>
      </c>
      <c r="I33" s="59" t="e">
        <f>IF(Input!$C$19="Yes",IF($I$15="N/A",H33,H33*$I$15),IF(Extension!E33&lt;Extension!H33,Extension!E33,Extension!H33))</f>
        <v>#DIV/0!</v>
      </c>
      <c r="J33" s="96" t="e">
        <f t="shared" si="7"/>
        <v>#DIV/0!</v>
      </c>
      <c r="L33" s="60">
        <v>0</v>
      </c>
      <c r="M33" s="59" t="e">
        <f t="shared" si="8"/>
        <v>#DIV/0!</v>
      </c>
      <c r="N33" s="96" t="e">
        <f t="shared" si="9"/>
        <v>#DIV/0!</v>
      </c>
    </row>
    <row r="34" spans="1:14" ht="15" x14ac:dyDescent="0.3">
      <c r="A34" s="75" t="str">
        <f>Calculations!A28</f>
        <v xml:space="preserve">Civil Defense </v>
      </c>
      <c r="B34" s="53" t="e">
        <f>Calculations!J28</f>
        <v>#DIV/0!</v>
      </c>
      <c r="C34" s="57">
        <v>0</v>
      </c>
      <c r="E34" s="53" t="e">
        <f t="shared" si="0"/>
        <v>#DIV/0!</v>
      </c>
      <c r="F34" s="96" t="e">
        <f t="shared" si="1"/>
        <v>#DIV/0!</v>
      </c>
      <c r="G34" s="96" t="e">
        <f>IF(Input!$C$19="No",IF(Input!C64&gt;0,Input!C64,"Levy"),IF(Input!$C$21="no",IF(Input!C64&gt;0,MIN(Input!C64,F34),F34),IF(Input!C64&gt;0,MIN(Input!C64,Input!C64*(Input!$C$30+$I$11)/Extension!$I$12,F34),F34)))</f>
        <v>#DIV/0!</v>
      </c>
      <c r="H34" s="59" t="e">
        <f t="shared" si="6"/>
        <v>#DIV/0!</v>
      </c>
      <c r="I34" s="59" t="e">
        <f>IF(Input!$C$19="Yes",IF($I$15="N/A",H34,H34*$I$15),IF(Extension!E34&lt;Extension!H34,Extension!E34,Extension!H34))</f>
        <v>#DIV/0!</v>
      </c>
      <c r="J34" s="96" t="e">
        <f t="shared" si="7"/>
        <v>#DIV/0!</v>
      </c>
      <c r="L34" s="60">
        <v>0</v>
      </c>
      <c r="M34" s="59" t="e">
        <f t="shared" si="8"/>
        <v>#DIV/0!</v>
      </c>
      <c r="N34" s="96" t="e">
        <f t="shared" si="9"/>
        <v>#DIV/0!</v>
      </c>
    </row>
    <row r="35" spans="1:14" ht="15" x14ac:dyDescent="0.3">
      <c r="A35" s="75" t="str">
        <f>Calculations!A29</f>
        <v xml:space="preserve">Garbage </v>
      </c>
      <c r="B35" s="53" t="e">
        <f>Calculations!J29</f>
        <v>#DIV/0!</v>
      </c>
      <c r="C35" s="57">
        <v>0</v>
      </c>
      <c r="E35" s="53" t="e">
        <f t="shared" si="0"/>
        <v>#DIV/0!</v>
      </c>
      <c r="F35" s="96" t="e">
        <f t="shared" si="1"/>
        <v>#DIV/0!</v>
      </c>
      <c r="G35" s="96" t="e">
        <f>IF(Input!$C$19="No",IF(Input!C65&gt;0,Input!C65,"Levy"),IF(Input!$C$21="no",IF(Input!C65&gt;0,MIN(Input!C65,F35),F35),IF(Input!C65&gt;0,MIN(Input!C65,Input!C65*(Input!$C$30+$I$11)/Extension!$I$12,F35),F35)))</f>
        <v>#DIV/0!</v>
      </c>
      <c r="H35" s="59" t="e">
        <f t="shared" si="6"/>
        <v>#DIV/0!</v>
      </c>
      <c r="I35" s="59" t="e">
        <f>IF(Input!$C$19="Yes",IF($I$15="N/A",H35,H35*$I$15),IF(Extension!E35&lt;Extension!H35,Extension!E35,Extension!H35))</f>
        <v>#DIV/0!</v>
      </c>
      <c r="J35" s="96" t="e">
        <f t="shared" si="7"/>
        <v>#DIV/0!</v>
      </c>
      <c r="L35" s="60">
        <v>0</v>
      </c>
      <c r="M35" s="59" t="e">
        <f t="shared" si="8"/>
        <v>#DIV/0!</v>
      </c>
      <c r="N35" s="96" t="e">
        <f t="shared" si="9"/>
        <v>#DIV/0!</v>
      </c>
    </row>
    <row r="36" spans="1:14" ht="15" x14ac:dyDescent="0.3">
      <c r="A36" s="75" t="str">
        <f>Calculations!A30</f>
        <v xml:space="preserve">Street Lighting </v>
      </c>
      <c r="B36" s="53" t="e">
        <f>Calculations!J30</f>
        <v>#DIV/0!</v>
      </c>
      <c r="C36" s="57">
        <v>0</v>
      </c>
      <c r="E36" s="53" t="e">
        <f t="shared" si="0"/>
        <v>#DIV/0!</v>
      </c>
      <c r="F36" s="96" t="e">
        <f t="shared" si="1"/>
        <v>#DIV/0!</v>
      </c>
      <c r="G36" s="96" t="e">
        <f>IF(Input!$C$19="No",IF(Input!C66&gt;0,Input!C66,"Levy"),IF(Input!$C$21="no",IF(Input!C66&gt;0,MIN(Input!C66,F36),F36),IF(Input!C66&gt;0,MIN(Input!C66,Input!C66*(Input!$C$30+$I$11)/Extension!$I$12,F36),F36)))</f>
        <v>#DIV/0!</v>
      </c>
      <c r="H36" s="59" t="e">
        <f t="shared" si="6"/>
        <v>#DIV/0!</v>
      </c>
      <c r="I36" s="59" t="e">
        <f>IF(Input!$C$19="Yes",IF($I$15="N/A",H36,H36*$I$15),IF(Extension!E36&lt;Extension!H36,Extension!E36,Extension!H36))</f>
        <v>#DIV/0!</v>
      </c>
      <c r="J36" s="96" t="e">
        <f t="shared" si="7"/>
        <v>#DIV/0!</v>
      </c>
      <c r="L36" s="60">
        <v>0</v>
      </c>
      <c r="M36" s="59" t="e">
        <f t="shared" si="8"/>
        <v>#DIV/0!</v>
      </c>
      <c r="N36" s="96" t="e">
        <f t="shared" si="9"/>
        <v>#DIV/0!</v>
      </c>
    </row>
    <row r="37" spans="1:14" ht="15" x14ac:dyDescent="0.3">
      <c r="A37" s="75" t="str">
        <f>Calculations!A31</f>
        <v xml:space="preserve">Custom 1 </v>
      </c>
      <c r="B37" s="53" t="e">
        <f>Calculations!J31</f>
        <v>#DIV/0!</v>
      </c>
      <c r="C37" s="57">
        <v>0</v>
      </c>
      <c r="E37" s="53" t="e">
        <f t="shared" si="0"/>
        <v>#DIV/0!</v>
      </c>
      <c r="F37" s="96" t="e">
        <f t="shared" si="1"/>
        <v>#DIV/0!</v>
      </c>
      <c r="G37" s="96" t="e">
        <f>IF(Input!$C$19="No",IF(Input!C67&gt;0,Input!C67,"Levy"),IF(Input!$C$21="no",IF(Input!C67&gt;0,MIN(Input!C67,F37),F37),IF(Input!C67&gt;0,MIN(Input!C67,Input!C67*(Input!$C$30+$I$11)/Extension!$I$12,F37),F37)))</f>
        <v>#DIV/0!</v>
      </c>
      <c r="H37" s="59" t="e">
        <f t="shared" si="6"/>
        <v>#DIV/0!</v>
      </c>
      <c r="I37" s="59" t="e">
        <f>IF(Input!$C$19="Yes",IF($I$15="N/A",H37,H37*$I$15),IF(Extension!E37&lt;Extension!H37,Extension!E37,Extension!H37))</f>
        <v>#DIV/0!</v>
      </c>
      <c r="J37" s="96" t="e">
        <f t="shared" si="7"/>
        <v>#DIV/0!</v>
      </c>
      <c r="L37" s="60">
        <v>0</v>
      </c>
      <c r="M37" s="59" t="e">
        <f t="shared" si="4"/>
        <v>#DIV/0!</v>
      </c>
      <c r="N37" s="96" t="e">
        <f t="shared" si="5"/>
        <v>#DIV/0!</v>
      </c>
    </row>
    <row r="38" spans="1:14" ht="15" x14ac:dyDescent="0.3">
      <c r="A38" s="75" t="str">
        <f>Calculations!A32</f>
        <v xml:space="preserve">Custom 2 </v>
      </c>
      <c r="B38" s="53" t="e">
        <f>Calculations!J32</f>
        <v>#DIV/0!</v>
      </c>
      <c r="C38" s="57">
        <v>0</v>
      </c>
      <c r="E38" s="53" t="e">
        <f t="shared" si="0"/>
        <v>#DIV/0!</v>
      </c>
      <c r="F38" s="96" t="e">
        <f t="shared" si="1"/>
        <v>#DIV/0!</v>
      </c>
      <c r="G38" s="96" t="e">
        <f>IF(Input!$C$19="No",IF(Input!C68&gt;0,Input!C68,"Levy"),IF(Input!$C$21="no",IF(Input!C68&gt;0,MIN(Input!C68,F38),F38),IF(Input!C68&gt;0,MIN(Input!C68,Input!C68*(Input!$C$30+$I$11)/Extension!$I$12,F38),F38)))</f>
        <v>#DIV/0!</v>
      </c>
      <c r="H38" s="59" t="e">
        <f t="shared" si="6"/>
        <v>#DIV/0!</v>
      </c>
      <c r="I38" s="59" t="e">
        <f>IF(Input!$C$19="Yes",IF($I$15="N/A",H38,H38*$I$15),IF(Extension!E38&lt;Extension!H38,Extension!E38,Extension!H38))</f>
        <v>#DIV/0!</v>
      </c>
      <c r="J38" s="96" t="e">
        <f t="shared" si="7"/>
        <v>#DIV/0!</v>
      </c>
      <c r="L38" s="60">
        <v>0</v>
      </c>
      <c r="M38" s="59" t="e">
        <f t="shared" si="4"/>
        <v>#DIV/0!</v>
      </c>
      <c r="N38" s="96" t="e">
        <f t="shared" si="5"/>
        <v>#DIV/0!</v>
      </c>
    </row>
    <row r="39" spans="1:14" ht="15" x14ac:dyDescent="0.3">
      <c r="A39" s="75" t="str">
        <f>Calculations!A33</f>
        <v xml:space="preserve">Custom 3 </v>
      </c>
      <c r="B39" s="53" t="e">
        <f>Calculations!J33</f>
        <v>#DIV/0!</v>
      </c>
      <c r="C39" s="57">
        <v>0</v>
      </c>
      <c r="E39" s="53" t="e">
        <f t="shared" ref="E39" si="10">B39*(1+C39)</f>
        <v>#DIV/0!</v>
      </c>
      <c r="F39" s="96" t="e">
        <f t="shared" ref="F39" si="11">(E39/$I$12)*100</f>
        <v>#DIV/0!</v>
      </c>
      <c r="G39" s="96" t="e">
        <f>IF(Input!$C$19="No",IF(Input!C69&gt;0,Input!C69,"Levy"),IF(Input!$C$21="no",IF(Input!C69&gt;0,MIN(Input!C69,F39),F39),IF(Input!C69&gt;0,MIN(Input!C69,Input!C69*(Input!$C$30+$I$11)/Extension!$I$12,F39),F39)))</f>
        <v>#DIV/0!</v>
      </c>
      <c r="H39" s="59" t="e">
        <f t="shared" ref="H39" si="12">IF(G39="Levy",E39,((G39*$I$12)/100))</f>
        <v>#DIV/0!</v>
      </c>
      <c r="I39" s="59" t="e">
        <f>IF(Input!$C$19="Yes",IF($I$15="N/A",H39,H39*$I$15),IF(Extension!E39&lt;Extension!H39,Extension!E39,Extension!H39))</f>
        <v>#DIV/0!</v>
      </c>
      <c r="J39" s="96" t="e">
        <f t="shared" ref="J39" si="13">(I39/$I$12)*100</f>
        <v>#DIV/0!</v>
      </c>
      <c r="L39" s="60">
        <v>0</v>
      </c>
      <c r="M39" s="59" t="e">
        <f t="shared" ref="M39" si="14">I39+L39</f>
        <v>#DIV/0!</v>
      </c>
      <c r="N39" s="96" t="e">
        <f t="shared" ref="N39" si="15">IF(M39=0,0,M39/$I$12)*100</f>
        <v>#DIV/0!</v>
      </c>
    </row>
    <row r="40" spans="1:14" ht="15" x14ac:dyDescent="0.3">
      <c r="A40" s="75" t="str">
        <f>Calculations!A34</f>
        <v xml:space="preserve">Custom 4 </v>
      </c>
      <c r="B40" s="53" t="e">
        <f>Calculations!J34</f>
        <v>#DIV/0!</v>
      </c>
      <c r="C40" s="57">
        <v>0</v>
      </c>
      <c r="E40" s="53" t="e">
        <f t="shared" ref="E40" si="16">B40*(1+C40)</f>
        <v>#DIV/0!</v>
      </c>
      <c r="F40" s="96" t="e">
        <f t="shared" ref="F40" si="17">(E40/$I$12)*100</f>
        <v>#DIV/0!</v>
      </c>
      <c r="G40" s="96" t="e">
        <f>IF(Input!$C$19="No",IF(Input!C70&gt;0,Input!C70,"Levy"),IF(Input!$C$21="no",IF(Input!C70&gt;0,MIN(Input!C70,F40),F40),IF(Input!C70&gt;0,MIN(Input!C70,Input!C70*(Input!$C$30+$I$11)/Extension!$I$12,F40),F40)))</f>
        <v>#DIV/0!</v>
      </c>
      <c r="H40" s="59" t="e">
        <f t="shared" ref="H40" si="18">IF(G40="Levy",E40,((G40*$I$12)/100))</f>
        <v>#DIV/0!</v>
      </c>
      <c r="I40" s="59" t="e">
        <f>IF(Input!$C$19="Yes",IF($I$15="N/A",H40,H40*$I$15),IF(Extension!E40&lt;Extension!H40,Extension!E40,Extension!H40))</f>
        <v>#DIV/0!</v>
      </c>
      <c r="J40" s="96" t="e">
        <f t="shared" ref="J40" si="19">(I40/$I$12)*100</f>
        <v>#DIV/0!</v>
      </c>
      <c r="L40" s="60">
        <v>0</v>
      </c>
      <c r="M40" s="59" t="e">
        <f t="shared" ref="M40" si="20">I40+L40</f>
        <v>#DIV/0!</v>
      </c>
      <c r="N40" s="96" t="e">
        <f t="shared" ref="N40" si="21">IF(M40=0,0,M40/$I$12)*100</f>
        <v>#DIV/0!</v>
      </c>
    </row>
    <row r="41" spans="1:14" ht="15" x14ac:dyDescent="0.3">
      <c r="A41" s="75" t="str">
        <f>Calculations!A35</f>
        <v>Custom 4 (No Max Rate)</v>
      </c>
      <c r="B41" s="53" t="e">
        <f>Calculations!J35</f>
        <v>#DIV/0!</v>
      </c>
      <c r="C41" s="57">
        <v>0</v>
      </c>
      <c r="E41" s="53" t="e">
        <f t="shared" si="0"/>
        <v>#DIV/0!</v>
      </c>
      <c r="F41" s="96" t="e">
        <f t="shared" si="1"/>
        <v>#DIV/0!</v>
      </c>
      <c r="G41" s="96" t="e">
        <f>IF(Input!$C$19="No",IF(Input!C71&gt;0,Input!C71,"Levy"),IF(Input!$C$21="no",IF(Input!C71&gt;0,MIN(Input!C71,F41),F41),IF(Input!C71&gt;0,MIN(Input!C71,Input!C71*(Input!$C$30+$I$11)/Extension!$I$12,F41),F41)))</f>
        <v>#DIV/0!</v>
      </c>
      <c r="H41" s="59" t="e">
        <f t="shared" si="6"/>
        <v>#DIV/0!</v>
      </c>
      <c r="I41" s="59" t="e">
        <f>IF(Input!$C$19="Yes",IF($I$15="N/A",H41,H41*$I$15),IF(Extension!E41&lt;Extension!H41,Extension!E41,Extension!H41))</f>
        <v>#DIV/0!</v>
      </c>
      <c r="J41" s="96" t="e">
        <f t="shared" si="3"/>
        <v>#DIV/0!</v>
      </c>
      <c r="L41" s="60">
        <v>0</v>
      </c>
      <c r="M41" s="59" t="e">
        <f t="shared" si="4"/>
        <v>#DIV/0!</v>
      </c>
      <c r="N41" s="96" t="e">
        <f t="shared" si="5"/>
        <v>#DIV/0!</v>
      </c>
    </row>
    <row r="42" spans="1:14" ht="15" x14ac:dyDescent="0.3">
      <c r="A42" s="75" t="str">
        <f>Calculations!A36</f>
        <v>Custom 5 (No Max Rate)</v>
      </c>
      <c r="B42" s="53" t="e">
        <f>Calculations!J36</f>
        <v>#DIV/0!</v>
      </c>
      <c r="C42" s="57">
        <v>0</v>
      </c>
      <c r="E42" s="53" t="e">
        <f t="shared" ref="E42" si="22">B42*(1+C42)</f>
        <v>#DIV/0!</v>
      </c>
      <c r="F42" s="96" t="e">
        <f t="shared" ref="F42" si="23">(E42/$I$12)*100</f>
        <v>#DIV/0!</v>
      </c>
      <c r="G42" s="96" t="e">
        <f>IF(Input!$C$19="No",IF(Input!C72&gt;0,Input!C72,"Levy"),IF(Input!$C$21="no",IF(Input!C72&gt;0,MIN(Input!C72,F42),F42),IF(Input!C72&gt;0,MIN(Input!C72,Input!C72*(Input!$C$30+$I$11)/Extension!$I$12,F42),F42)))</f>
        <v>#DIV/0!</v>
      </c>
      <c r="H42" s="59" t="e">
        <f t="shared" ref="H42" si="24">IF(G42="Levy",E42,((G42*$I$12)/100))</f>
        <v>#DIV/0!</v>
      </c>
      <c r="I42" s="59" t="e">
        <f>IF(Input!$C$19="Yes",IF($I$15="N/A",H42,H42*$I$15),IF(Extension!E42&lt;Extension!H42,Extension!E42,Extension!H42))</f>
        <v>#DIV/0!</v>
      </c>
      <c r="J42" s="96" t="e">
        <f t="shared" ref="J42" si="25">(I42/$I$12)*100</f>
        <v>#DIV/0!</v>
      </c>
      <c r="L42" s="60">
        <v>0</v>
      </c>
      <c r="M42" s="59" t="e">
        <f t="shared" ref="M42" si="26">I42+L42</f>
        <v>#DIV/0!</v>
      </c>
      <c r="N42" s="96" t="e">
        <f t="shared" ref="N42" si="27">IF(M42=0,0,M42/$I$12)*100</f>
        <v>#DIV/0!</v>
      </c>
    </row>
    <row r="43" spans="1:14" ht="15.75" customHeight="1" x14ac:dyDescent="0.3">
      <c r="B43" s="3"/>
      <c r="C43" s="3"/>
      <c r="K43" s="47"/>
      <c r="L43" s="133">
        <f>-L45</f>
        <v>0</v>
      </c>
      <c r="M43" s="98" t="str">
        <f>IF(L43&lt;0," Extension Reduction Needed, Net to $0"," Extension Increase Needed, Net to $0")</f>
        <v xml:space="preserve"> Extension Increase Needed, Net to $0</v>
      </c>
    </row>
    <row r="44" spans="1:14" ht="15.75" customHeight="1" x14ac:dyDescent="0.3">
      <c r="B44" s="3"/>
      <c r="C44" s="3"/>
    </row>
    <row r="45" spans="1:14" ht="15" x14ac:dyDescent="0.3">
      <c r="A45" s="2" t="str">
        <f>IF(Input!C19="Yes","Capped Levy/Extension/Rate ","Levy/Extension/Rate ")</f>
        <v xml:space="preserve">Capped Levy/Extension/Rate </v>
      </c>
      <c r="B45" s="61" t="e">
        <f>SUM(B20:B42)</f>
        <v>#DIV/0!</v>
      </c>
      <c r="C45" s="4"/>
      <c r="E45" s="61" t="e">
        <f>SUM(E20:E42)</f>
        <v>#DIV/0!</v>
      </c>
      <c r="F45" s="97" t="e">
        <f>SUM(F20:F42)</f>
        <v>#DIV/0!</v>
      </c>
      <c r="G45" s="97" t="e">
        <f>SUM(G20:G42)</f>
        <v>#DIV/0!</v>
      </c>
      <c r="H45" s="62" t="e">
        <f>SUM(H20:H42)</f>
        <v>#DIV/0!</v>
      </c>
      <c r="I45" s="62" t="e">
        <f>SUM(I20:I42)</f>
        <v>#DIV/0!</v>
      </c>
      <c r="J45" s="97" t="e">
        <f>(I45/$I$12)*100</f>
        <v>#DIV/0!</v>
      </c>
      <c r="L45" s="62">
        <f>SUM(L20:L42)</f>
        <v>0</v>
      </c>
      <c r="M45" s="62" t="e">
        <f>SUM(M20:M42)</f>
        <v>#DIV/0!</v>
      </c>
      <c r="N45" s="97" t="e">
        <f>SUM(N20:N42)</f>
        <v>#DIV/0!</v>
      </c>
    </row>
    <row r="46" spans="1:14" ht="15" x14ac:dyDescent="0.3">
      <c r="A46" s="2"/>
      <c r="H46" s="47"/>
      <c r="I46" s="46"/>
    </row>
    <row r="47" spans="1:14" ht="15" x14ac:dyDescent="0.3">
      <c r="A47" s="2" t="s">
        <v>95</v>
      </c>
      <c r="B47" s="61">
        <f>Calculations!J43</f>
        <v>0</v>
      </c>
      <c r="H47" s="2" t="s">
        <v>94</v>
      </c>
      <c r="I47" s="62">
        <f>MIN(B47,I12*MIN(4%,Calculations!F42)/100)</f>
        <v>0</v>
      </c>
      <c r="J47" s="97" t="e">
        <f>MIN((I47/$I$12)*100,I47/I12*100)</f>
        <v>#DIV/0!</v>
      </c>
      <c r="K47" s="52"/>
      <c r="L47" s="9" t="e">
        <f>IF(J47&lt;Calculations!F42,(J47-Calculations!F42)*I12/100,"")</f>
        <v>#DIV/0!</v>
      </c>
      <c r="N47" s="97" t="e">
        <f>J47</f>
        <v>#DIV/0!</v>
      </c>
    </row>
    <row r="48" spans="1:14" ht="15" x14ac:dyDescent="0.3">
      <c r="A48" s="2"/>
      <c r="K48" s="51"/>
      <c r="L48" s="127" t="e">
        <f>IF(L47&lt;0," ALERT - Special Recreation Levy Increase Needed","")</f>
        <v>#DIV/0!</v>
      </c>
      <c r="M48" s="127"/>
      <c r="N48" s="127"/>
    </row>
    <row r="49" spans="1:14" ht="15" x14ac:dyDescent="0.3">
      <c r="A49" s="2" t="str">
        <f>Calculations!A45&amp;" Levy"</f>
        <v>Custom Non-PTELL Levy</v>
      </c>
      <c r="B49" s="61">
        <f>Calculations!J45</f>
        <v>0</v>
      </c>
      <c r="H49" s="2" t="str">
        <f>"Actual "&amp;Input!B78&amp;" Extension/Rate"</f>
        <v>Actual Custom Non-PTELL Extension/Rate</v>
      </c>
      <c r="I49" s="60"/>
      <c r="J49" s="97" t="e">
        <f>(I49/$I$12)*100</f>
        <v>#DIV/0!</v>
      </c>
      <c r="K49" s="51"/>
      <c r="L49" s="127"/>
      <c r="M49" s="127"/>
      <c r="N49" s="97" t="e">
        <f>J49</f>
        <v>#DIV/0!</v>
      </c>
    </row>
    <row r="50" spans="1:14" ht="15" x14ac:dyDescent="0.3">
      <c r="A50" s="2"/>
      <c r="K50" s="51"/>
      <c r="L50" s="127"/>
      <c r="M50" s="127"/>
      <c r="N50" s="127"/>
    </row>
    <row r="51" spans="1:14" ht="15" x14ac:dyDescent="0.3">
      <c r="A51" s="2" t="s">
        <v>84</v>
      </c>
      <c r="B51" s="61">
        <f>Calculations!J47</f>
        <v>0</v>
      </c>
      <c r="C51" s="10"/>
      <c r="H51" s="2" t="s">
        <v>86</v>
      </c>
      <c r="I51" s="60"/>
      <c r="J51" s="97" t="e">
        <f>(I51/$I$12)*100</f>
        <v>#DIV/0!</v>
      </c>
      <c r="K51" s="52" t="s">
        <v>33</v>
      </c>
      <c r="N51" s="97" t="e">
        <f>J51</f>
        <v>#DIV/0!</v>
      </c>
    </row>
    <row r="52" spans="1:14" ht="15" x14ac:dyDescent="0.3">
      <c r="A52" s="2"/>
      <c r="B52" s="42"/>
      <c r="C52" s="4"/>
      <c r="E52" s="4"/>
      <c r="F52" s="4"/>
      <c r="G52" s="4"/>
    </row>
    <row r="53" spans="1:14" ht="15" x14ac:dyDescent="0.3">
      <c r="A53" s="2" t="s">
        <v>55</v>
      </c>
      <c r="B53" s="61" t="e">
        <f>IF(Input!$C$19="Yes",B45+B49+B51+B47,B45+B51+B47)</f>
        <v>#DIV/0!</v>
      </c>
      <c r="C53" s="10"/>
      <c r="H53" s="2" t="s">
        <v>83</v>
      </c>
      <c r="I53" s="61" t="e">
        <f>IF(Input!$C$19="Yes",I45+I49+I51+I47,I45+I51+I47)</f>
        <v>#DIV/0!</v>
      </c>
      <c r="J53" s="97" t="e">
        <f>IF(Input!$C$19="Yes",J45+J49+J51+J47,J45+J51+J47)</f>
        <v>#DIV/0!</v>
      </c>
      <c r="M53" s="2"/>
      <c r="N53" s="97" t="e">
        <f>IF(Input!$C$19="Yes",N45+N49+N51+N47,N45+N51+N47)</f>
        <v>#DIV/0!</v>
      </c>
    </row>
    <row r="54" spans="1:14" ht="13" x14ac:dyDescent="0.3">
      <c r="C54" s="3"/>
    </row>
    <row r="55" spans="1:14" ht="4.5" customHeight="1" x14ac:dyDescent="0.3">
      <c r="C55" s="3"/>
    </row>
    <row r="56" spans="1:14" ht="13" hidden="1" x14ac:dyDescent="0.3">
      <c r="C56" s="3"/>
    </row>
  </sheetData>
  <sheetProtection algorithmName="SHA-512" hashValue="KS64iD6MF9sRu43ZDzaN6s/fEVZ4Bh0F9hFoNv2eyZvlfkxD0PelCPD3Jh4FW+itLfOVdvIsMTl/O0M1ZF6YeQ==" saltValue="NwCfre4zc/pcvImfP6REaQ==" spinCount="100000" sheet="1" objects="1" scenarios="1"/>
  <mergeCells count="11">
    <mergeCell ref="N18:N19"/>
    <mergeCell ref="J18:J19"/>
    <mergeCell ref="G18:G19"/>
    <mergeCell ref="I18:I19"/>
    <mergeCell ref="H18:H19"/>
    <mergeCell ref="A9:A10"/>
    <mergeCell ref="A2:C2"/>
    <mergeCell ref="C12:D12"/>
    <mergeCell ref="C13:D13"/>
    <mergeCell ref="B10:B11"/>
    <mergeCell ref="C10:D11"/>
  </mergeCells>
  <conditionalFormatting sqref="A9:C9 E9:E11">
    <cfRule type="expression" dxfId="151" priority="244" stopIfTrue="1">
      <formula>$B$12="N/A"</formula>
    </cfRule>
  </conditionalFormatting>
  <conditionalFormatting sqref="A9:D9 A11 A12:D13 H15:I15">
    <cfRule type="expression" dxfId="150" priority="215" stopIfTrue="1">
      <formula>$B$12="N/A"</formula>
    </cfRule>
  </conditionalFormatting>
  <conditionalFormatting sqref="B13">
    <cfRule type="expression" dxfId="148" priority="221" stopIfTrue="1">
      <formula>$B$12="N/A"</formula>
    </cfRule>
  </conditionalFormatting>
  <conditionalFormatting sqref="B10:C10">
    <cfRule type="expression" dxfId="147" priority="219" stopIfTrue="1">
      <formula>$B$12="N/A"</formula>
    </cfRule>
  </conditionalFormatting>
  <conditionalFormatting sqref="F20">
    <cfRule type="cellIs" dxfId="146" priority="214" operator="greaterThan">
      <formula>$G$20</formula>
    </cfRule>
  </conditionalFormatting>
  <conditionalFormatting sqref="F21">
    <cfRule type="cellIs" dxfId="144" priority="144" operator="greaterThan">
      <formula>$G$21</formula>
    </cfRule>
  </conditionalFormatting>
  <conditionalFormatting sqref="F22">
    <cfRule type="cellIs" dxfId="143" priority="82" operator="greaterThan">
      <formula>$G$22</formula>
    </cfRule>
  </conditionalFormatting>
  <conditionalFormatting sqref="F23">
    <cfRule type="cellIs" dxfId="142" priority="81" operator="greaterThan">
      <formula>$G$23</formula>
    </cfRule>
  </conditionalFormatting>
  <conditionalFormatting sqref="F24">
    <cfRule type="cellIs" dxfId="141" priority="80" operator="greaterThan">
      <formula>$G$24</formula>
    </cfRule>
  </conditionalFormatting>
  <conditionalFormatting sqref="F25">
    <cfRule type="cellIs" dxfId="140" priority="79" operator="greaterThan">
      <formula>$G$25</formula>
    </cfRule>
  </conditionalFormatting>
  <conditionalFormatting sqref="F26">
    <cfRule type="cellIs" dxfId="139" priority="78" operator="greaterThan">
      <formula>$G$26</formula>
    </cfRule>
  </conditionalFormatting>
  <conditionalFormatting sqref="F27">
    <cfRule type="cellIs" dxfId="138" priority="77" operator="greaterThan">
      <formula>$G$27</formula>
    </cfRule>
  </conditionalFormatting>
  <conditionalFormatting sqref="F28">
    <cfRule type="cellIs" dxfId="137" priority="76" operator="greaterThan">
      <formula>$G28</formula>
    </cfRule>
  </conditionalFormatting>
  <conditionalFormatting sqref="F29">
    <cfRule type="cellIs" dxfId="136" priority="72" operator="greaterThan">
      <formula>"G29"</formula>
    </cfRule>
  </conditionalFormatting>
  <conditionalFormatting sqref="F30">
    <cfRule type="cellIs" dxfId="135" priority="67" operator="greaterThan">
      <formula>$G$30</formula>
    </cfRule>
  </conditionalFormatting>
  <conditionalFormatting sqref="F31">
    <cfRule type="cellIs" dxfId="134" priority="66" operator="greaterThan">
      <formula>$G$31</formula>
    </cfRule>
  </conditionalFormatting>
  <conditionalFormatting sqref="F32">
    <cfRule type="cellIs" dxfId="133" priority="65" operator="greaterThan">
      <formula>$G$32</formula>
    </cfRule>
  </conditionalFormatting>
  <conditionalFormatting sqref="F33">
    <cfRule type="cellIs" dxfId="132" priority="64" operator="greaterThan">
      <formula>$G$33</formula>
    </cfRule>
  </conditionalFormatting>
  <conditionalFormatting sqref="F34">
    <cfRule type="cellIs" dxfId="131" priority="63" operator="greaterThan">
      <formula>$G$34</formula>
    </cfRule>
  </conditionalFormatting>
  <conditionalFormatting sqref="F35">
    <cfRule type="cellIs" dxfId="130" priority="62" operator="greaterThan">
      <formula>$G$35</formula>
    </cfRule>
  </conditionalFormatting>
  <conditionalFormatting sqref="F36">
    <cfRule type="cellIs" dxfId="129" priority="61" operator="greaterThan">
      <formula>$G$36</formula>
    </cfRule>
  </conditionalFormatting>
  <conditionalFormatting sqref="F37">
    <cfRule type="cellIs" dxfId="128" priority="75" operator="greaterThan">
      <formula>$G$37</formula>
    </cfRule>
  </conditionalFormatting>
  <conditionalFormatting sqref="F38">
    <cfRule type="cellIs" dxfId="127" priority="74" operator="greaterThan">
      <formula>$G$38</formula>
    </cfRule>
  </conditionalFormatting>
  <conditionalFormatting sqref="F39:F40">
    <cfRule type="cellIs" dxfId="126" priority="60" operator="greaterThan">
      <formula>$G$39</formula>
    </cfRule>
  </conditionalFormatting>
  <conditionalFormatting sqref="F41">
    <cfRule type="cellIs" dxfId="125" priority="73" operator="greaterThan">
      <formula>$G$41</formula>
    </cfRule>
  </conditionalFormatting>
  <conditionalFormatting sqref="F42">
    <cfRule type="cellIs" dxfId="124" priority="13" operator="greaterThan">
      <formula>$G$42</formula>
    </cfRule>
  </conditionalFormatting>
  <conditionalFormatting sqref="F2:H4 I3 F5:I5">
    <cfRule type="expression" dxfId="123" priority="170" stopIfTrue="1">
      <formula>$C$19="No"</formula>
    </cfRule>
  </conditionalFormatting>
  <conditionalFormatting sqref="H16">
    <cfRule type="expression" dxfId="120" priority="136">
      <formula>$I$16&gt;0</formula>
    </cfRule>
  </conditionalFormatting>
  <conditionalFormatting sqref="H46:I46">
    <cfRule type="cellIs" dxfId="119" priority="187" operator="lessThan">
      <formula>0</formula>
    </cfRule>
  </conditionalFormatting>
  <conditionalFormatting sqref="I4 I2">
    <cfRule type="expression" dxfId="118" priority="173" stopIfTrue="1">
      <formula>$C$19="No"</formula>
    </cfRule>
  </conditionalFormatting>
  <conditionalFormatting sqref="I10:I11">
    <cfRule type="expression" dxfId="117" priority="141">
      <formula>$I$16&lt;0</formula>
    </cfRule>
  </conditionalFormatting>
  <conditionalFormatting sqref="I16">
    <cfRule type="cellIs" dxfId="115" priority="183" operator="lessThan">
      <formula>0</formula>
    </cfRule>
    <cfRule type="expression" dxfId="114" priority="235" stopIfTrue="1">
      <formula>$B$12="N/A"</formula>
    </cfRule>
  </conditionalFormatting>
  <conditionalFormatting sqref="I20">
    <cfRule type="expression" dxfId="113" priority="140">
      <formula>$I20&lt;$H20</formula>
    </cfRule>
  </conditionalFormatting>
  <conditionalFormatting sqref="I21">
    <cfRule type="expression" dxfId="112" priority="83">
      <formula>$I$21&lt;$H$21</formula>
    </cfRule>
  </conditionalFormatting>
  <conditionalFormatting sqref="I22">
    <cfRule type="expression" dxfId="111" priority="59">
      <formula>$I$22&lt;$H$22</formula>
    </cfRule>
  </conditionalFormatting>
  <conditionalFormatting sqref="I23">
    <cfRule type="expression" dxfId="110" priority="58">
      <formula>$I$23&lt;$H$23</formula>
    </cfRule>
  </conditionalFormatting>
  <conditionalFormatting sqref="I24">
    <cfRule type="expression" dxfId="109" priority="57">
      <formula>$I$24&lt;$H$24</formula>
    </cfRule>
  </conditionalFormatting>
  <conditionalFormatting sqref="I25">
    <cfRule type="expression" dxfId="108" priority="56">
      <formula>$I$25&lt;$H$25</formula>
    </cfRule>
  </conditionalFormatting>
  <conditionalFormatting sqref="I26">
    <cfRule type="expression" dxfId="107" priority="55">
      <formula>$I$26&lt;$H$26</formula>
    </cfRule>
  </conditionalFormatting>
  <conditionalFormatting sqref="I27">
    <cfRule type="expression" dxfId="106" priority="54">
      <formula>$I$27&lt;$H$27</formula>
    </cfRule>
  </conditionalFormatting>
  <conditionalFormatting sqref="I28">
    <cfRule type="expression" dxfId="105" priority="53">
      <formula>$I$28&lt;$H$28</formula>
    </cfRule>
  </conditionalFormatting>
  <conditionalFormatting sqref="I29">
    <cfRule type="expression" dxfId="104" priority="52">
      <formula>$I$29&lt;$H$29</formula>
    </cfRule>
  </conditionalFormatting>
  <conditionalFormatting sqref="I30">
    <cfRule type="expression" dxfId="103" priority="51">
      <formula>$I$30&lt;$H$30</formula>
    </cfRule>
  </conditionalFormatting>
  <conditionalFormatting sqref="I31">
    <cfRule type="expression" dxfId="102" priority="50">
      <formula>$I$31&lt;$H$31</formula>
    </cfRule>
  </conditionalFormatting>
  <conditionalFormatting sqref="I32">
    <cfRule type="expression" dxfId="101" priority="49">
      <formula>$I$32&lt;$H$32</formula>
    </cfRule>
  </conditionalFormatting>
  <conditionalFormatting sqref="I33">
    <cfRule type="expression" dxfId="100" priority="48">
      <formula>$I$33&lt;$H$33</formula>
    </cfRule>
  </conditionalFormatting>
  <conditionalFormatting sqref="I34">
    <cfRule type="expression" dxfId="99" priority="47">
      <formula>$I$34&lt;$H$34</formula>
    </cfRule>
  </conditionalFormatting>
  <conditionalFormatting sqref="I35">
    <cfRule type="expression" dxfId="98" priority="46">
      <formula>$I$35&lt;$H$35</formula>
    </cfRule>
  </conditionalFormatting>
  <conditionalFormatting sqref="I36">
    <cfRule type="expression" dxfId="97" priority="45">
      <formula>$I$36&lt;$H$36</formula>
    </cfRule>
  </conditionalFormatting>
  <conditionalFormatting sqref="I37">
    <cfRule type="expression" dxfId="96" priority="44">
      <formula>$I$37&lt;$H$37</formula>
    </cfRule>
  </conditionalFormatting>
  <conditionalFormatting sqref="I38">
    <cfRule type="expression" dxfId="95" priority="43">
      <formula>$I$38&lt;$H$38</formula>
    </cfRule>
  </conditionalFormatting>
  <conditionalFormatting sqref="I39:I40">
    <cfRule type="expression" dxfId="94" priority="33">
      <formula>$I$39&lt;$H$39</formula>
    </cfRule>
  </conditionalFormatting>
  <conditionalFormatting sqref="I41">
    <cfRule type="expression" dxfId="93" priority="42">
      <formula>$I$41&lt;$H$41</formula>
    </cfRule>
  </conditionalFormatting>
  <conditionalFormatting sqref="I42">
    <cfRule type="expression" dxfId="92" priority="11">
      <formula>$I$42&lt;$H$42</formula>
    </cfRule>
  </conditionalFormatting>
  <conditionalFormatting sqref="J20">
    <cfRule type="expression" dxfId="89" priority="94">
      <formula>$J$20=0</formula>
    </cfRule>
    <cfRule type="expression" dxfId="88" priority="95">
      <formula>$G$20="Levy"</formula>
    </cfRule>
    <cfRule type="expression" dxfId="87" priority="147">
      <formula>$J20&lt;$G20</formula>
    </cfRule>
  </conditionalFormatting>
  <conditionalFormatting sqref="J21">
    <cfRule type="expression" dxfId="86" priority="84">
      <formula>$J$21=0</formula>
    </cfRule>
    <cfRule type="expression" dxfId="85" priority="110">
      <formula>$G$21="Levy"</formula>
    </cfRule>
    <cfRule type="expression" dxfId="84" priority="119">
      <formula>$J$21&lt;$G$21</formula>
    </cfRule>
  </conditionalFormatting>
  <conditionalFormatting sqref="J22">
    <cfRule type="expression" dxfId="83" priority="93">
      <formula>$J$22=0</formula>
    </cfRule>
    <cfRule type="expression" dxfId="82" priority="109">
      <formula>$G$22="Levy"</formula>
    </cfRule>
    <cfRule type="expression" dxfId="81" priority="120">
      <formula>$J$22&lt;$G$22</formula>
    </cfRule>
  </conditionalFormatting>
  <conditionalFormatting sqref="J23">
    <cfRule type="expression" dxfId="80" priority="92">
      <formula>$J$23=0</formula>
    </cfRule>
    <cfRule type="expression" dxfId="79" priority="107">
      <formula>$G$23="Levy"</formula>
    </cfRule>
    <cfRule type="expression" dxfId="78" priority="108">
      <formula>$J$23&lt;$G$23</formula>
    </cfRule>
  </conditionalFormatting>
  <conditionalFormatting sqref="J24">
    <cfRule type="expression" dxfId="77" priority="90">
      <formula>$J$24=0</formula>
    </cfRule>
    <cfRule type="expression" dxfId="76" priority="105">
      <formula>$G$24="Levy"</formula>
    </cfRule>
    <cfRule type="expression" dxfId="75" priority="106">
      <formula>$J$24&lt;$G$24</formula>
    </cfRule>
  </conditionalFormatting>
  <conditionalFormatting sqref="J25">
    <cfRule type="expression" dxfId="74" priority="91">
      <formula>$J$25=0</formula>
    </cfRule>
    <cfRule type="expression" dxfId="73" priority="103">
      <formula>$G$25="Levy"</formula>
    </cfRule>
    <cfRule type="expression" dxfId="72" priority="104">
      <formula>$J$25&lt;$G$25</formula>
    </cfRule>
  </conditionalFormatting>
  <conditionalFormatting sqref="J26">
    <cfRule type="expression" dxfId="71" priority="89">
      <formula>$J$26=0</formula>
    </cfRule>
    <cfRule type="expression" dxfId="70" priority="101">
      <formula>$G$26="Levy"</formula>
    </cfRule>
    <cfRule type="expression" dxfId="69" priority="102">
      <formula>$J$26&lt;$G$26</formula>
    </cfRule>
  </conditionalFormatting>
  <conditionalFormatting sqref="J27">
    <cfRule type="expression" dxfId="68" priority="88">
      <formula>$J$27=0</formula>
    </cfRule>
    <cfRule type="expression" dxfId="67" priority="99">
      <formula>$G$27="Levy"</formula>
    </cfRule>
    <cfRule type="expression" dxfId="66" priority="100">
      <formula>$J$27&lt;$G$27</formula>
    </cfRule>
  </conditionalFormatting>
  <conditionalFormatting sqref="J28">
    <cfRule type="expression" dxfId="65" priority="118">
      <formula>$J$28&lt;$G$28</formula>
    </cfRule>
  </conditionalFormatting>
  <conditionalFormatting sqref="J28:J36">
    <cfRule type="expression" dxfId="64" priority="34">
      <formula>$J$28=0</formula>
    </cfRule>
    <cfRule type="expression" dxfId="63" priority="35">
      <formula>$G$28="Levy"</formula>
    </cfRule>
  </conditionalFormatting>
  <conditionalFormatting sqref="J29">
    <cfRule type="expression" dxfId="62" priority="114">
      <formula>$J$29&lt;$G$29</formula>
    </cfRule>
  </conditionalFormatting>
  <conditionalFormatting sqref="J30">
    <cfRule type="expression" dxfId="61" priority="97">
      <formula>$J$30&lt;$G$30</formula>
    </cfRule>
  </conditionalFormatting>
  <conditionalFormatting sqref="J31">
    <cfRule type="expression" dxfId="60" priority="41">
      <formula>$J$31&lt;$G$31</formula>
    </cfRule>
  </conditionalFormatting>
  <conditionalFormatting sqref="J32">
    <cfRule type="expression" dxfId="59" priority="40">
      <formula>$J$32&lt;$G$32</formula>
    </cfRule>
  </conditionalFormatting>
  <conditionalFormatting sqref="J33">
    <cfRule type="expression" dxfId="58" priority="39">
      <formula>$J$33&lt;$G$33</formula>
    </cfRule>
  </conditionalFormatting>
  <conditionalFormatting sqref="J34">
    <cfRule type="expression" dxfId="57" priority="38">
      <formula>$J$34&lt;$G$34</formula>
    </cfRule>
  </conditionalFormatting>
  <conditionalFormatting sqref="J35">
    <cfRule type="expression" dxfId="56" priority="37">
      <formula>$J$35&lt;$G$35</formula>
    </cfRule>
  </conditionalFormatting>
  <conditionalFormatting sqref="J36">
    <cfRule type="expression" dxfId="55" priority="36">
      <formula>$J$36&lt;$G$36</formula>
    </cfRule>
  </conditionalFormatting>
  <conditionalFormatting sqref="J37">
    <cfRule type="expression" dxfId="54" priority="96">
      <formula>$J$37=0</formula>
    </cfRule>
    <cfRule type="expression" dxfId="53" priority="113">
      <formula>$G$37="Levy"</formula>
    </cfRule>
    <cfRule type="expression" dxfId="52" priority="117">
      <formula>$J$37&lt;$G$37</formula>
    </cfRule>
  </conditionalFormatting>
  <conditionalFormatting sqref="J38">
    <cfRule type="expression" dxfId="51" priority="87">
      <formula>$J$38=0</formula>
    </cfRule>
    <cfRule type="expression" dxfId="50" priority="112">
      <formula>$G$38="Levy"</formula>
    </cfRule>
    <cfRule type="expression" dxfId="49" priority="116">
      <formula>$J$38&lt;$G$38</formula>
    </cfRule>
  </conditionalFormatting>
  <conditionalFormatting sqref="J39:J40">
    <cfRule type="expression" dxfId="48" priority="8">
      <formula>$J$39=0</formula>
    </cfRule>
    <cfRule type="expression" dxfId="47" priority="9">
      <formula>$J$39="Levy"</formula>
    </cfRule>
    <cfRule type="expression" dxfId="46" priority="10">
      <formula>$J$39&lt;G39</formula>
    </cfRule>
  </conditionalFormatting>
  <conditionalFormatting sqref="J41">
    <cfRule type="expression" dxfId="45" priority="85">
      <formula>$J$41=0</formula>
    </cfRule>
    <cfRule type="expression" dxfId="44" priority="111">
      <formula>$G$41="Levy"</formula>
    </cfRule>
    <cfRule type="expression" dxfId="43" priority="115">
      <formula>$J$41&lt;$G$41</formula>
    </cfRule>
  </conditionalFormatting>
  <conditionalFormatting sqref="J42">
    <cfRule type="expression" dxfId="42" priority="5">
      <formula>$J$42=0</formula>
    </cfRule>
    <cfRule type="expression" dxfId="41" priority="6">
      <formula>$J$42="Levy"</formula>
    </cfRule>
    <cfRule type="expression" dxfId="40" priority="7">
      <formula>$J$42&lt;$G$42</formula>
    </cfRule>
  </conditionalFormatting>
  <conditionalFormatting sqref="J15:N15">
    <cfRule type="expression" dxfId="39" priority="142">
      <formula>$I$16&lt;0</formula>
    </cfRule>
    <cfRule type="expression" dxfId="38" priority="163">
      <formula>$I$15="N/A"</formula>
    </cfRule>
  </conditionalFormatting>
  <conditionalFormatting sqref="J16:N16">
    <cfRule type="expression" dxfId="37" priority="153">
      <formula>$I$16&lt;0</formula>
    </cfRule>
  </conditionalFormatting>
  <conditionalFormatting sqref="L43">
    <cfRule type="expression" dxfId="36" priority="149">
      <formula>$L$45=0</formula>
    </cfRule>
  </conditionalFormatting>
  <conditionalFormatting sqref="L45">
    <cfRule type="expression" dxfId="35" priority="151">
      <formula>$L$45&gt;0</formula>
    </cfRule>
    <cfRule type="expression" dxfId="34" priority="152">
      <formula>$L$45&lt;0</formula>
    </cfRule>
  </conditionalFormatting>
  <conditionalFormatting sqref="L47">
    <cfRule type="expression" dxfId="33" priority="122">
      <formula>$L$47&lt;0</formula>
    </cfRule>
  </conditionalFormatting>
  <conditionalFormatting sqref="L48:N48">
    <cfRule type="expression" dxfId="32" priority="123">
      <formula>$L$47&lt;0</formula>
    </cfRule>
  </conditionalFormatting>
  <conditionalFormatting sqref="M20">
    <cfRule type="cellIs" dxfId="31" priority="194" operator="greaterThan">
      <formula>$E20</formula>
    </cfRule>
  </conditionalFormatting>
  <conditionalFormatting sqref="M21">
    <cfRule type="cellIs" dxfId="30" priority="32" operator="greaterThan">
      <formula>$E$21</formula>
    </cfRule>
  </conditionalFormatting>
  <conditionalFormatting sqref="M22">
    <cfRule type="cellIs" dxfId="29" priority="31" operator="greaterThan">
      <formula>$E$22</formula>
    </cfRule>
  </conditionalFormatting>
  <conditionalFormatting sqref="M23">
    <cfRule type="cellIs" dxfId="28" priority="30" operator="greaterThan">
      <formula>$E$23</formula>
    </cfRule>
  </conditionalFormatting>
  <conditionalFormatting sqref="M24">
    <cfRule type="cellIs" dxfId="27" priority="29" operator="greaterThan">
      <formula>$E$24</formula>
    </cfRule>
  </conditionalFormatting>
  <conditionalFormatting sqref="M25">
    <cfRule type="cellIs" dxfId="26" priority="28" operator="greaterThan">
      <formula>$E$25</formula>
    </cfRule>
  </conditionalFormatting>
  <conditionalFormatting sqref="M26">
    <cfRule type="cellIs" dxfId="25" priority="27" operator="greaterThan">
      <formula>$E$26</formula>
    </cfRule>
  </conditionalFormatting>
  <conditionalFormatting sqref="M27">
    <cfRule type="cellIs" dxfId="24" priority="26" operator="greaterThan">
      <formula>$E$27</formula>
    </cfRule>
  </conditionalFormatting>
  <conditionalFormatting sqref="M28">
    <cfRule type="cellIs" dxfId="23" priority="25" operator="greaterThan">
      <formula>$E$28</formula>
    </cfRule>
  </conditionalFormatting>
  <conditionalFormatting sqref="M29">
    <cfRule type="cellIs" dxfId="22" priority="24" operator="greaterThan">
      <formula>$E$29</formula>
    </cfRule>
  </conditionalFormatting>
  <conditionalFormatting sqref="M30">
    <cfRule type="cellIs" dxfId="21" priority="23" operator="greaterThan">
      <formula>$E$30</formula>
    </cfRule>
  </conditionalFormatting>
  <conditionalFormatting sqref="M31">
    <cfRule type="cellIs" dxfId="20" priority="22" operator="greaterThan">
      <formula>$E$31</formula>
    </cfRule>
  </conditionalFormatting>
  <conditionalFormatting sqref="M32">
    <cfRule type="cellIs" dxfId="19" priority="21" operator="greaterThan">
      <formula>$E$32</formula>
    </cfRule>
  </conditionalFormatting>
  <conditionalFormatting sqref="M33">
    <cfRule type="cellIs" dxfId="18" priority="20" operator="greaterThan">
      <formula>$E$33</formula>
    </cfRule>
  </conditionalFormatting>
  <conditionalFormatting sqref="M34">
    <cfRule type="cellIs" dxfId="17" priority="19" operator="greaterThan">
      <formula>$E$34</formula>
    </cfRule>
  </conditionalFormatting>
  <conditionalFormatting sqref="M35">
    <cfRule type="cellIs" dxfId="16" priority="18" operator="greaterThan">
      <formula>$E$35</formula>
    </cfRule>
  </conditionalFormatting>
  <conditionalFormatting sqref="M36">
    <cfRule type="cellIs" dxfId="15" priority="17" operator="greaterThan">
      <formula>$E$36</formula>
    </cfRule>
  </conditionalFormatting>
  <conditionalFormatting sqref="M37">
    <cfRule type="cellIs" dxfId="14" priority="16" operator="greaterThan">
      <formula>$E$37</formula>
    </cfRule>
  </conditionalFormatting>
  <conditionalFormatting sqref="M38">
    <cfRule type="cellIs" dxfId="13" priority="15" operator="greaterThan">
      <formula>$E$38</formula>
    </cfRule>
  </conditionalFormatting>
  <conditionalFormatting sqref="M39:M40">
    <cfRule type="cellIs" dxfId="12" priority="2" operator="greaterThan">
      <formula>$E$39</formula>
    </cfRule>
  </conditionalFormatting>
  <conditionalFormatting sqref="M41">
    <cfRule type="cellIs" dxfId="11" priority="14" operator="greaterThan">
      <formula>$E$41</formula>
    </cfRule>
  </conditionalFormatting>
  <conditionalFormatting sqref="M42">
    <cfRule type="cellIs" dxfId="10" priority="3" operator="greaterThan">
      <formula>$E$42</formula>
    </cfRule>
  </conditionalFormatting>
  <conditionalFormatting sqref="M43:N43">
    <cfRule type="expression" dxfId="9" priority="150">
      <formula>$L$45=0</formula>
    </cfRule>
  </conditionalFormatting>
  <pageMargins left="0.4" right="0.4" top="0.73" bottom="0.79" header="0.5" footer="0.49"/>
  <pageSetup scale="64" orientation="landscape" r:id="rId1"/>
  <headerFooter alignWithMargins="0"/>
  <ignoredErrors>
    <ignoredError sqref="J49 N49" evalError="1"/>
  </ignoredErrors>
  <extLst>
    <ext xmlns:x14="http://schemas.microsoft.com/office/spreadsheetml/2009/9/main" uri="{78C0D931-6437-407d-A8EE-F0AAD7539E65}">
      <x14:conditionalFormattings>
        <x14:conditionalFormatting xmlns:xm="http://schemas.microsoft.com/office/excel/2006/main">
          <x14:cfRule type="expression" priority="1" stopIfTrue="1" id="{40875EEA-0F52-417F-81CA-45879F33B3C9}">
            <xm:f>Input!$C$19="No"</xm:f>
            <x14:dxf>
              <font>
                <color theme="0"/>
              </font>
              <fill>
                <patternFill patternType="none">
                  <bgColor auto="1"/>
                </patternFill>
              </fill>
              <border>
                <left/>
                <right/>
                <top/>
                <bottom/>
                <vertical/>
                <horizontal/>
              </border>
            </x14:dxf>
          </x14:cfRule>
          <xm:sqref>A49:N49</xm:sqref>
        </x14:conditionalFormatting>
        <x14:conditionalFormatting xmlns:xm="http://schemas.microsoft.com/office/excel/2006/main">
          <x14:cfRule type="expression" priority="12" id="{F533E96E-9F42-40B7-984F-046851FCFBCD}">
            <xm:f>Input!$C$19="No"</xm:f>
            <x14:dxf>
              <font>
                <color auto="1"/>
              </font>
              <fill>
                <patternFill>
                  <bgColor theme="4" tint="0.79998168889431442"/>
                </patternFill>
              </fill>
            </x14:dxf>
          </x14:cfRule>
          <xm:sqref>F20:F42</xm:sqref>
        </x14:conditionalFormatting>
        <x14:conditionalFormatting xmlns:xm="http://schemas.microsoft.com/office/excel/2006/main">
          <x14:cfRule type="expression" priority="71" id="{8DA61B3A-58DA-43CF-8B60-7F592DF49201}">
            <xm:f>Input!$C$19="No"</xm:f>
            <x14:dxf>
              <font>
                <color theme="0"/>
              </font>
              <fill>
                <patternFill>
                  <bgColor theme="0"/>
                </patternFill>
              </fill>
              <border>
                <left/>
                <right/>
                <top/>
                <bottom/>
                <vertical/>
                <horizontal/>
              </border>
            </x14:dxf>
          </x14:cfRule>
          <xm:sqref>F4:I4</xm:sqref>
        </x14:conditionalFormatting>
        <x14:conditionalFormatting xmlns:xm="http://schemas.microsoft.com/office/excel/2006/main">
          <x14:cfRule type="expression" priority="70" id="{620B6491-8146-40A1-BDB2-361DA1B3EE81}">
            <xm:f>Input!$C$19="No"</xm:f>
            <x14:dxf>
              <font>
                <color theme="0"/>
              </font>
            </x14:dxf>
          </x14:cfRule>
          <xm:sqref>H11</xm:sqref>
        </x14:conditionalFormatting>
        <x14:conditionalFormatting xmlns:xm="http://schemas.microsoft.com/office/excel/2006/main">
          <x14:cfRule type="expression" priority="68" id="{A19D1C0E-AFFB-4D34-ACD3-BCF0EA81F92B}">
            <xm:f>Input!$C$19="No"</xm:f>
            <x14:dxf>
              <font>
                <color theme="0"/>
              </font>
              <fill>
                <patternFill patternType="none">
                  <bgColor auto="1"/>
                </patternFill>
              </fill>
              <border>
                <left/>
                <right/>
                <top style="thin">
                  <color auto="1"/>
                </top>
                <bottom style="thin">
                  <color auto="1"/>
                </bottom>
                <vertical/>
                <horizontal/>
              </border>
            </x14:dxf>
          </x14:cfRule>
          <xm:sqref>I11</xm:sqref>
        </x14:conditionalFormatting>
        <x14:conditionalFormatting xmlns:xm="http://schemas.microsoft.com/office/excel/2006/main">
          <x14:cfRule type="expression" priority="4" id="{EBEB1B33-A073-4318-B255-232791041151}">
            <xm:f>Input!$C$19="Yes"</xm:f>
            <x14:dxf>
              <fill>
                <patternFill>
                  <bgColor theme="4" tint="0.79998168889431442"/>
                </patternFill>
              </fill>
            </x14:dxf>
          </x14:cfRule>
          <xm:sqref>I20:J42</xm:sqref>
        </x14:conditionalFormatting>
        <x14:conditionalFormatting xmlns:xm="http://schemas.microsoft.com/office/excel/2006/main">
          <x14:cfRule type="expression" priority="69" id="{E492F503-3361-48A4-B11E-37481AE91C6D}">
            <xm:f>Input!$C$19="No"</xm:f>
            <x14:dxf>
              <font>
                <color theme="0"/>
              </font>
            </x14:dxf>
          </x14:cfRule>
          <xm:sqref>J11</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DC04F-2542-4255-A00C-302E7FC9059C}">
  <sheetPr>
    <tabColor theme="5" tint="0.79998168889431442"/>
  </sheetPr>
  <dimension ref="A1:AD90"/>
  <sheetViews>
    <sheetView showGridLines="0" workbookViewId="0">
      <selection activeCell="J29" sqref="J29"/>
    </sheetView>
  </sheetViews>
  <sheetFormatPr defaultColWidth="9.1796875" defaultRowHeight="13" zeroHeight="1" x14ac:dyDescent="0.3"/>
  <cols>
    <col min="1" max="1" width="44.81640625" style="178" bestFit="1" customWidth="1"/>
    <col min="2" max="2" width="16.54296875" style="178" customWidth="1"/>
    <col min="3" max="4" width="9.1796875" style="178" customWidth="1"/>
    <col min="5" max="7" width="10.7265625" style="178" customWidth="1"/>
    <col min="8" max="8" width="2.81640625" style="178" customWidth="1"/>
    <col min="9" max="9" width="13" style="178" customWidth="1"/>
    <col min="10" max="10" width="10.54296875" style="178" customWidth="1"/>
    <col min="11" max="12" width="9.1796875" style="178" customWidth="1"/>
    <col min="13" max="13" width="16.54296875" style="178" customWidth="1"/>
    <col min="14" max="14" width="7.453125" style="178" customWidth="1"/>
    <col min="15" max="15" width="13.7265625" style="178" customWidth="1"/>
    <col min="16" max="16" width="4.81640625" style="179" customWidth="1"/>
    <col min="17" max="30" width="9.1796875" style="179" customWidth="1"/>
    <col min="31" max="16384" width="9.1796875" style="178"/>
  </cols>
  <sheetData>
    <row r="1" spans="1:28" ht="15.5" thickBot="1" x14ac:dyDescent="0.35">
      <c r="E1" s="73"/>
      <c r="F1" s="86" t="s">
        <v>31</v>
      </c>
      <c r="G1" s="73"/>
      <c r="H1" s="73"/>
    </row>
    <row r="2" spans="1:28" ht="17.5" x14ac:dyDescent="0.35">
      <c r="A2" s="288" t="str">
        <f>Input!$C$9&amp;" Taxpayer Impact Calculation Page"</f>
        <v>2025 Taxpayer Impact Calculation Page</v>
      </c>
      <c r="B2" s="288"/>
      <c r="E2" s="85"/>
      <c r="F2" s="102" t="s">
        <v>155</v>
      </c>
      <c r="G2" s="84"/>
      <c r="H2" s="73"/>
    </row>
    <row r="3" spans="1:28" x14ac:dyDescent="0.3">
      <c r="E3" s="70"/>
      <c r="F3" s="100" t="s">
        <v>30</v>
      </c>
      <c r="G3" s="71"/>
      <c r="H3" s="73"/>
    </row>
    <row r="4" spans="1:28" ht="15.5" thickBot="1" x14ac:dyDescent="0.35">
      <c r="B4" s="2" t="s">
        <v>124</v>
      </c>
      <c r="E4" s="93"/>
      <c r="F4" s="101" t="s">
        <v>34</v>
      </c>
      <c r="G4" s="94"/>
      <c r="H4" s="73"/>
      <c r="M4" s="49" t="s">
        <v>103</v>
      </c>
    </row>
    <row r="5" spans="1:28" x14ac:dyDescent="0.3"/>
    <row r="6" spans="1:28" ht="15" x14ac:dyDescent="0.3">
      <c r="A6" s="2" t="str">
        <f>Extension!H10</f>
        <v xml:space="preserve">Actual % Change to Existing EAV for 2025 </v>
      </c>
      <c r="B6" s="180">
        <f>Extension!I10</f>
        <v>0</v>
      </c>
      <c r="L6" s="5" t="str">
        <f>(Input!$C$9-1)&amp; " Fair Cash / Market Value Home"</f>
        <v>2024 Fair Cash / Market Value Home</v>
      </c>
      <c r="M6" s="181"/>
      <c r="Q6" s="182"/>
    </row>
    <row r="7" spans="1:28" ht="15" x14ac:dyDescent="0.3">
      <c r="A7" s="2" t="str">
        <f>"Actual EAV Value for "&amp; Input!C9&amp;" "</f>
        <v xml:space="preserve">Actual EAV Value for 2025 </v>
      </c>
      <c r="B7" s="183">
        <f>Input!C30*(1+B6)</f>
        <v>0</v>
      </c>
      <c r="L7" s="5"/>
      <c r="M7" s="5"/>
      <c r="Q7" s="182"/>
      <c r="X7" s="239"/>
      <c r="Y7" s="239"/>
      <c r="Z7" s="239">
        <v>3.0163000000000002</v>
      </c>
      <c r="AA7" s="239"/>
      <c r="AB7" s="239" t="s">
        <v>104</v>
      </c>
    </row>
    <row r="8" spans="1:28" ht="15" x14ac:dyDescent="0.3">
      <c r="A8" s="48"/>
      <c r="B8" s="184"/>
      <c r="C8" s="1"/>
      <c r="L8" s="5" t="str">
        <f>"Estimated "&amp;Input!C9&amp;" Fair Cash Value Home"</f>
        <v>Estimated 2025 Fair Cash Value Home</v>
      </c>
      <c r="M8" s="183">
        <f>M6*(1+B6)</f>
        <v>0</v>
      </c>
      <c r="N8" s="50" t="s">
        <v>105</v>
      </c>
      <c r="O8" s="1"/>
      <c r="Q8" s="182"/>
      <c r="X8" s="239" t="s">
        <v>106</v>
      </c>
      <c r="Y8" s="240">
        <v>0.1</v>
      </c>
      <c r="Z8" s="239">
        <f>'Tax Calculator - Calculations'!Z8</f>
        <v>3.0354999999999999</v>
      </c>
      <c r="AA8" s="239">
        <v>10000</v>
      </c>
      <c r="AB8" s="239">
        <v>10000</v>
      </c>
    </row>
    <row r="9" spans="1:28" ht="15" x14ac:dyDescent="0.3">
      <c r="A9" s="2" t="str">
        <f>Extension!H11</f>
        <v xml:space="preserve">Actual New Property for 2025 </v>
      </c>
      <c r="B9" s="183">
        <f>Extension!I11</f>
        <v>0</v>
      </c>
      <c r="C9" s="1"/>
      <c r="L9" s="5"/>
      <c r="M9" s="5"/>
      <c r="N9" s="50"/>
      <c r="O9" s="1"/>
      <c r="Q9" s="182"/>
      <c r="X9" s="239" t="s">
        <v>107</v>
      </c>
      <c r="Y9" s="240">
        <f>((1/3)*100)%</f>
        <v>0.33333333333333326</v>
      </c>
      <c r="Z9" s="239">
        <v>1</v>
      </c>
      <c r="AA9" s="239">
        <v>8000</v>
      </c>
      <c r="AB9" s="239">
        <v>6000</v>
      </c>
    </row>
    <row r="10" spans="1:28" ht="3" customHeight="1" x14ac:dyDescent="0.3">
      <c r="A10" s="2"/>
      <c r="B10" s="2"/>
      <c r="C10" s="1"/>
      <c r="L10" s="5"/>
      <c r="M10" s="5"/>
      <c r="N10" s="50"/>
      <c r="O10" s="1"/>
      <c r="Q10" s="182"/>
      <c r="X10" s="239"/>
      <c r="Y10" s="240"/>
      <c r="Z10" s="239"/>
      <c r="AA10" s="239"/>
      <c r="AB10" s="239"/>
    </row>
    <row r="11" spans="1:28" ht="15" x14ac:dyDescent="0.3">
      <c r="A11" s="2" t="str">
        <f>"Actual Total EAV Value for "&amp; Input!C9&amp;" "</f>
        <v xml:space="preserve">Actual Total EAV Value for 2025 </v>
      </c>
      <c r="B11" s="155">
        <f>IF(Input!$C$19="Yes",B7+B9,B7)</f>
        <v>0</v>
      </c>
      <c r="C11" s="50" t="s">
        <v>35</v>
      </c>
      <c r="L11" s="5" t="s">
        <v>108</v>
      </c>
      <c r="M11" s="183">
        <f>M8*N11</f>
        <v>0</v>
      </c>
      <c r="N11" s="161">
        <f>IF(Input!$C$13="Cook",'Tax Calculator - Extension'!Y8,'Tax Calculator - Extension'!Y9)</f>
        <v>0.33333333333333326</v>
      </c>
      <c r="O11" s="1"/>
      <c r="X11" s="239" t="s">
        <v>109</v>
      </c>
      <c r="Y11" s="240"/>
      <c r="Z11" s="239"/>
      <c r="AA11" s="239">
        <v>8000</v>
      </c>
      <c r="AB11" s="239"/>
    </row>
    <row r="12" spans="1:28" ht="15.75" customHeight="1" x14ac:dyDescent="0.3">
      <c r="B12" s="1"/>
      <c r="L12" s="5" t="s">
        <v>110</v>
      </c>
      <c r="M12" s="183">
        <f>M11*N12</f>
        <v>0</v>
      </c>
      <c r="N12" s="185">
        <f>IF(Input!$C$13="Cook",'Tax Calculator - Extension'!Z8,'Tax Calculator - Extension'!Z9)</f>
        <v>1</v>
      </c>
      <c r="O12" s="1"/>
      <c r="X12" s="239" t="s">
        <v>111</v>
      </c>
      <c r="Y12" s="240"/>
      <c r="Z12" s="239"/>
      <c r="AA12" s="239">
        <v>8000</v>
      </c>
      <c r="AB12" s="239"/>
    </row>
    <row r="13" spans="1:28" ht="15" x14ac:dyDescent="0.3">
      <c r="A13" s="5" t="str">
        <f>Input!$C$9-1&amp;" Operating Rate"</f>
        <v>2024 Operating Rate</v>
      </c>
      <c r="B13" s="186" t="e">
        <f>(Input!D74/Input!C30)*100</f>
        <v>#DIV/0!</v>
      </c>
      <c r="O13" s="1"/>
      <c r="X13" s="239" t="s">
        <v>112</v>
      </c>
      <c r="Y13" s="240"/>
      <c r="Z13" s="239"/>
      <c r="AA13" s="239">
        <v>8000</v>
      </c>
      <c r="AB13" s="239"/>
    </row>
    <row r="14" spans="1:28" ht="15.5" thickBot="1" x14ac:dyDescent="0.35">
      <c r="A14" s="5" t="str">
        <f>"Estimated "&amp;Input!$C$9&amp;" Operating Rate"</f>
        <v>Estimated 2025 Operating Rate</v>
      </c>
      <c r="B14" s="186" t="e">
        <f>Extension!N45</f>
        <v>#DIV/0!</v>
      </c>
      <c r="C14" s="187"/>
      <c r="J14" s="1"/>
      <c r="K14" s="1"/>
      <c r="L14" s="5"/>
      <c r="M14"/>
      <c r="N14" s="319" t="s">
        <v>113</v>
      </c>
      <c r="O14" s="319"/>
      <c r="P14" s="189"/>
      <c r="X14" s="239" t="s">
        <v>114</v>
      </c>
      <c r="Y14" s="240"/>
      <c r="Z14" s="239"/>
      <c r="AA14" s="239">
        <v>8000</v>
      </c>
      <c r="AB14" s="239"/>
    </row>
    <row r="15" spans="1:28" ht="15.75" customHeight="1" x14ac:dyDescent="0.3">
      <c r="A15" s="152" t="str">
        <f>"Actual "&amp;Input!C9&amp;" Bond &amp; Interest Tax Rate"</f>
        <v>Actual 2025 Bond &amp; Interest Tax Rate</v>
      </c>
      <c r="B15" s="198" t="e">
        <f>((Extension!I51*(1+B17)/B11*100)+0.0000001)</f>
        <v>#DIV/0!</v>
      </c>
      <c r="C15" s="50" t="s">
        <v>115</v>
      </c>
      <c r="E15" s="320" t="s">
        <v>125</v>
      </c>
      <c r="F15" s="321"/>
      <c r="G15" s="322"/>
      <c r="J15" s="1"/>
      <c r="K15" s="1"/>
      <c r="L15" s="5" t="s">
        <v>179</v>
      </c>
      <c r="M15" s="188">
        <f>IF(Input!$C$13="Cook",'Tax Calculator - Extension'!AA8,IF(Input!$C$13="DuPage",'Tax Calculator - Extension'!AA9,IF(Input!C13="Lake",'Tax Calculator - Extension'!AA11,IF(Input!C13="McHenry",'Tax Calculator - Extension'!AA12,IF(Input!C13="Kane",'Tax Calculator - Extension'!AA13,IF(Input!C13="Will",'Tax Calculator - Extension'!AA14,AA15))))))</f>
        <v>6000</v>
      </c>
      <c r="N15" s="319"/>
      <c r="O15" s="319"/>
      <c r="P15" s="189"/>
      <c r="X15" s="239"/>
      <c r="Y15" s="239"/>
      <c r="Z15" s="239"/>
      <c r="AA15" s="239">
        <v>6000</v>
      </c>
      <c r="AB15" s="239"/>
    </row>
    <row r="16" spans="1:28" ht="15" x14ac:dyDescent="0.3">
      <c r="A16" s="5"/>
      <c r="B16" s="5"/>
      <c r="C16" s="5"/>
      <c r="D16" s="5"/>
      <c r="E16" s="323"/>
      <c r="F16" s="324"/>
      <c r="G16" s="325"/>
      <c r="M16" s="1"/>
      <c r="N16" s="190"/>
      <c r="O16" s="190"/>
    </row>
    <row r="17" spans="1:15" ht="15.5" thickBot="1" x14ac:dyDescent="0.35">
      <c r="A17" s="5" t="s">
        <v>116</v>
      </c>
      <c r="B17" s="169"/>
      <c r="C17" s="50"/>
      <c r="E17" s="326"/>
      <c r="F17" s="327"/>
      <c r="G17" s="328"/>
      <c r="L17" s="5" t="s">
        <v>117</v>
      </c>
      <c r="M17" s="188">
        <f>M12-M15</f>
        <v>-6000</v>
      </c>
      <c r="N17" s="191"/>
      <c r="O17" s="3"/>
    </row>
    <row r="18" spans="1:15" ht="12.75" customHeight="1" x14ac:dyDescent="0.3">
      <c r="M18" s="1"/>
      <c r="N18" s="1"/>
      <c r="O18" s="1"/>
    </row>
    <row r="19" spans="1:15" ht="15" x14ac:dyDescent="0.3">
      <c r="A19" s="5" t="s">
        <v>118</v>
      </c>
      <c r="B19" s="172">
        <v>0</v>
      </c>
      <c r="C19" s="76" t="s">
        <v>119</v>
      </c>
      <c r="L19" s="5" t="str">
        <f>"Estimated Change in Tax Payment for "&amp; Input!C9</f>
        <v>Estimated Change in Tax Payment for 2025</v>
      </c>
      <c r="M19" s="188" t="e">
        <f>(M17*(B28)/100)-(((((M6*N11)*IF(Input!C13="Cook",Z7,Z9))-M15)*(B29)/100))</f>
        <v>#DIV/0!</v>
      </c>
      <c r="N19" s="1"/>
      <c r="O19" s="1"/>
    </row>
    <row r="20" spans="1:15" ht="15" x14ac:dyDescent="0.3">
      <c r="A20" s="5" t="s">
        <v>120</v>
      </c>
      <c r="B20" s="186" t="e">
        <f>((B19*(1+B17))/B11*100)</f>
        <v>#DIV/0!</v>
      </c>
      <c r="C20" s="76" t="s">
        <v>121</v>
      </c>
    </row>
    <row r="21" spans="1:15" ht="15.75" customHeight="1" x14ac:dyDescent="0.3">
      <c r="A21" s="5"/>
      <c r="B21" s="5"/>
      <c r="C21" s="76"/>
      <c r="I21" s="173" t="str">
        <f>"Note, the calculator is intended to estimate the "&amp;Input!C11&amp;" portion of the tax bill."</f>
        <v>Note, the calculator is intended to estimate the  portion of the tax bill.</v>
      </c>
      <c r="J21" s="174"/>
      <c r="K21" s="174"/>
      <c r="L21" s="174"/>
      <c r="M21" s="174"/>
      <c r="N21" s="174"/>
    </row>
    <row r="22" spans="1:15" ht="15.75" customHeight="1" x14ac:dyDescent="0.3">
      <c r="A22" s="5" t="str">
        <f>"Net "&amp;Input!$C$9&amp;" B&amp;I Tax Rate"</f>
        <v>Net 2025 B&amp;I Tax Rate</v>
      </c>
      <c r="B22" s="186" t="e">
        <f>(IF(B15&gt;B20,B15-B20,"Check Abatement"))</f>
        <v>#DIV/0!</v>
      </c>
      <c r="I22" s="310" t="s">
        <v>168</v>
      </c>
      <c r="J22" s="310"/>
      <c r="K22" s="310"/>
      <c r="L22" s="310"/>
      <c r="M22" s="310"/>
      <c r="N22" s="310"/>
      <c r="O22" s="310"/>
    </row>
    <row r="23" spans="1:15" ht="21" customHeight="1" x14ac:dyDescent="0.3">
      <c r="A23" s="5"/>
      <c r="B23" s="5"/>
      <c r="C23" s="76"/>
      <c r="I23" s="310"/>
      <c r="J23" s="310"/>
      <c r="K23" s="310"/>
      <c r="L23" s="310"/>
      <c r="M23" s="310"/>
      <c r="N23" s="310"/>
      <c r="O23" s="310"/>
    </row>
    <row r="24" spans="1:15" ht="15" x14ac:dyDescent="0.3">
      <c r="A24" s="5" t="str">
        <f>"Actual "&amp;Input!$C$9&amp;" Special Recreation Rate"</f>
        <v>Actual 2025 Special Recreation Rate</v>
      </c>
      <c r="B24" s="186" t="e">
        <f>Extension!J$47</f>
        <v>#DIV/0!</v>
      </c>
      <c r="C24" s="76"/>
      <c r="I24" s="310"/>
      <c r="J24" s="310"/>
      <c r="K24" s="310"/>
      <c r="L24" s="310"/>
      <c r="M24" s="310"/>
      <c r="N24" s="310"/>
      <c r="O24" s="310"/>
    </row>
    <row r="25" spans="1:15" ht="15" x14ac:dyDescent="0.3">
      <c r="A25" s="5"/>
      <c r="B25" s="5"/>
      <c r="C25" s="76"/>
      <c r="I25" s="310"/>
      <c r="J25" s="310"/>
      <c r="K25" s="310"/>
      <c r="L25" s="310"/>
      <c r="M25" s="310"/>
      <c r="N25" s="310"/>
      <c r="O25" s="310"/>
    </row>
    <row r="26" spans="1:15" ht="15" x14ac:dyDescent="0.3">
      <c r="A26" s="152" t="str">
        <f>"Actual "&amp;Input!B78&amp;" Rate"</f>
        <v>Actual Custom Non-PTELL Rate</v>
      </c>
      <c r="B26" s="186" t="e">
        <f>Extension!J$49</f>
        <v>#DIV/0!</v>
      </c>
      <c r="C26" s="76"/>
      <c r="I26" s="310"/>
      <c r="J26" s="310"/>
      <c r="K26" s="310"/>
      <c r="L26" s="310"/>
      <c r="M26" s="310"/>
      <c r="N26" s="310"/>
      <c r="O26" s="310"/>
    </row>
    <row r="27" spans="1:15" ht="15" x14ac:dyDescent="0.3">
      <c r="A27" s="5"/>
      <c r="B27" s="5"/>
      <c r="C27" s="76"/>
      <c r="I27" s="310"/>
      <c r="J27" s="310"/>
      <c r="K27" s="310"/>
      <c r="L27" s="310"/>
      <c r="M27" s="310"/>
      <c r="N27" s="310"/>
      <c r="O27" s="310"/>
    </row>
    <row r="28" spans="1:15" ht="15" x14ac:dyDescent="0.3">
      <c r="A28" s="5" t="str">
        <f>"Total "&amp;Input!$C$9&amp;" Tax Rate"</f>
        <v>Total 2025 Tax Rate</v>
      </c>
      <c r="B28" s="186" t="e">
        <f>IF(Input!C19="Yes",B22+B14+B24+B26,B22+B14+B24)</f>
        <v>#DIV/0!</v>
      </c>
      <c r="I28" s="310"/>
      <c r="J28" s="310"/>
      <c r="K28" s="310"/>
      <c r="L28" s="310"/>
      <c r="M28" s="310"/>
      <c r="N28" s="310"/>
      <c r="O28" s="310"/>
    </row>
    <row r="29" spans="1:15" ht="15" x14ac:dyDescent="0.3">
      <c r="A29" s="5" t="s">
        <v>123</v>
      </c>
      <c r="B29" s="186" t="e">
        <f>Input!D82/Input!C30*100</f>
        <v>#DIV/0!</v>
      </c>
      <c r="I29" s="192"/>
      <c r="J29" s="192"/>
      <c r="K29" s="192"/>
      <c r="L29" s="192"/>
      <c r="M29" s="192"/>
      <c r="N29" s="192"/>
      <c r="O29" s="175"/>
    </row>
    <row r="30" spans="1:15" ht="15" x14ac:dyDescent="0.3">
      <c r="A30" s="5"/>
      <c r="B30" s="5"/>
      <c r="I30" s="192"/>
      <c r="J30" s="192"/>
      <c r="K30" s="192"/>
      <c r="L30" s="192"/>
      <c r="M30" s="192"/>
      <c r="N30" s="192"/>
      <c r="O30" s="175"/>
    </row>
    <row r="31" spans="1:15" s="179" customFormat="1" hidden="1" x14ac:dyDescent="0.3"/>
    <row r="32" spans="1:15" s="179" customFormat="1" hidden="1" x14ac:dyDescent="0.3"/>
    <row r="33" s="179" customFormat="1" hidden="1" x14ac:dyDescent="0.3"/>
    <row r="34" s="179" customFormat="1" hidden="1" x14ac:dyDescent="0.3"/>
    <row r="35" s="179" customFormat="1" hidden="1" x14ac:dyDescent="0.3"/>
    <row r="36" s="179" customFormat="1" hidden="1" x14ac:dyDescent="0.3"/>
    <row r="37" s="179" customFormat="1" hidden="1" x14ac:dyDescent="0.3"/>
    <row r="38" s="179" customFormat="1" hidden="1" x14ac:dyDescent="0.3"/>
    <row r="39" s="179" customFormat="1" hidden="1" x14ac:dyDescent="0.3"/>
    <row r="40" s="179" customFormat="1" hidden="1" x14ac:dyDescent="0.3"/>
    <row r="41" s="179" customFormat="1" hidden="1" x14ac:dyDescent="0.3"/>
    <row r="42" s="179" customFormat="1" hidden="1" x14ac:dyDescent="0.3"/>
    <row r="43" s="179" customFormat="1" hidden="1" x14ac:dyDescent="0.3"/>
    <row r="44" s="179" customFormat="1" hidden="1" x14ac:dyDescent="0.3"/>
    <row r="45" s="179" customFormat="1" hidden="1" x14ac:dyDescent="0.3"/>
    <row r="46" s="179" customFormat="1" hidden="1" x14ac:dyDescent="0.3"/>
    <row r="47" s="179" customFormat="1" hidden="1" x14ac:dyDescent="0.3"/>
    <row r="48" s="179" customFormat="1" hidden="1" x14ac:dyDescent="0.3"/>
    <row r="49" s="179" customFormat="1" hidden="1" x14ac:dyDescent="0.3"/>
    <row r="50" s="179" customFormat="1" hidden="1" x14ac:dyDescent="0.3"/>
    <row r="51" s="179" customFormat="1" hidden="1" x14ac:dyDescent="0.3"/>
    <row r="52" s="179" customFormat="1" hidden="1" x14ac:dyDescent="0.3"/>
    <row r="53" s="179" customFormat="1" hidden="1" x14ac:dyDescent="0.3"/>
    <row r="54" s="179" customFormat="1" hidden="1" x14ac:dyDescent="0.3"/>
    <row r="55" s="179" customFormat="1" hidden="1" x14ac:dyDescent="0.3"/>
    <row r="56" s="179" customFormat="1" hidden="1" x14ac:dyDescent="0.3"/>
    <row r="57" s="179" customFormat="1" hidden="1" x14ac:dyDescent="0.3"/>
    <row r="58" s="179" customFormat="1" hidden="1" x14ac:dyDescent="0.3"/>
    <row r="59" s="179" customFormat="1" hidden="1" x14ac:dyDescent="0.3"/>
    <row r="60" s="179" customFormat="1" hidden="1" x14ac:dyDescent="0.3"/>
    <row r="61" s="179" customFormat="1" hidden="1" x14ac:dyDescent="0.3"/>
    <row r="62" s="179" customFormat="1" hidden="1" x14ac:dyDescent="0.3"/>
    <row r="63" s="179" customFormat="1" hidden="1" x14ac:dyDescent="0.3"/>
    <row r="64" s="179" customFormat="1" hidden="1" x14ac:dyDescent="0.3"/>
    <row r="65" s="179" customFormat="1" hidden="1" x14ac:dyDescent="0.3"/>
    <row r="66" s="179" customFormat="1" hidden="1" x14ac:dyDescent="0.3"/>
    <row r="67" s="179" customFormat="1" hidden="1" x14ac:dyDescent="0.3"/>
    <row r="68" s="179" customFormat="1" hidden="1" x14ac:dyDescent="0.3"/>
    <row r="69" s="179" customFormat="1" hidden="1" x14ac:dyDescent="0.3"/>
    <row r="70" s="179" customFormat="1" hidden="1" x14ac:dyDescent="0.3"/>
    <row r="71" s="179" customFormat="1" hidden="1" x14ac:dyDescent="0.3"/>
    <row r="72" s="179" customFormat="1" hidden="1" x14ac:dyDescent="0.3"/>
    <row r="73" s="179" customFormat="1" hidden="1" x14ac:dyDescent="0.3"/>
    <row r="74" s="179" customFormat="1" hidden="1" x14ac:dyDescent="0.3"/>
    <row r="75" s="179" customFormat="1" hidden="1" x14ac:dyDescent="0.3"/>
    <row r="76" s="179" customFormat="1" hidden="1" x14ac:dyDescent="0.3"/>
    <row r="77" s="179" customFormat="1" hidden="1" x14ac:dyDescent="0.3"/>
    <row r="78" s="179" customFormat="1" hidden="1" x14ac:dyDescent="0.3"/>
    <row r="79" s="179" customFormat="1" hidden="1" x14ac:dyDescent="0.3"/>
    <row r="80" s="179" customFormat="1" hidden="1" x14ac:dyDescent="0.3"/>
    <row r="81" spans="1:15" s="179" customFormat="1" hidden="1" x14ac:dyDescent="0.3"/>
    <row r="82" spans="1:15" s="179" customFormat="1" hidden="1" x14ac:dyDescent="0.3"/>
    <row r="83" spans="1:15" s="179" customFormat="1" hidden="1" x14ac:dyDescent="0.3"/>
    <row r="84" spans="1:15" s="179" customFormat="1" hidden="1" x14ac:dyDescent="0.3"/>
    <row r="85" spans="1:15" s="179" customFormat="1" hidden="1" x14ac:dyDescent="0.3"/>
    <row r="86" spans="1:15" s="179" customFormat="1" hidden="1" x14ac:dyDescent="0.3"/>
    <row r="87" spans="1:15" s="179" customFormat="1" hidden="1" x14ac:dyDescent="0.3"/>
    <row r="88" spans="1:15" s="179" customFormat="1" hidden="1" x14ac:dyDescent="0.3"/>
    <row r="89" spans="1:15" hidden="1" x14ac:dyDescent="0.3">
      <c r="A89" s="179"/>
      <c r="B89" s="179"/>
      <c r="C89" s="179"/>
      <c r="I89" s="179"/>
      <c r="J89" s="179"/>
      <c r="K89" s="179"/>
      <c r="L89" s="179"/>
      <c r="M89" s="179"/>
      <c r="N89" s="179"/>
      <c r="O89" s="179"/>
    </row>
    <row r="90" spans="1:15" hidden="1" x14ac:dyDescent="0.3">
      <c r="I90" s="179"/>
      <c r="J90" s="179"/>
      <c r="K90" s="179"/>
      <c r="L90" s="179"/>
      <c r="M90" s="179"/>
      <c r="N90" s="179"/>
      <c r="O90" s="179"/>
    </row>
  </sheetData>
  <sheetProtection algorithmName="SHA-512" hashValue="2jnePh8oViGDqQICLFMsZ2LVJz63gbTudx4225dppFribzBkbAsnPOrBjNucQA9wLHQCYNLPh38euV2Y3IYOpA==" saltValue="uO6VcoJ8wMeWypp6rv1ujg==" spinCount="100000" sheet="1" objects="1" scenarios="1"/>
  <mergeCells count="4">
    <mergeCell ref="A2:B2"/>
    <mergeCell ref="N14:O15"/>
    <mergeCell ref="E15:G17"/>
    <mergeCell ref="I22:O28"/>
  </mergeCells>
  <conditionalFormatting sqref="A22:A30">
    <cfRule type="expression" dxfId="8" priority="2" stopIfTrue="1">
      <formula>$B$20="N/A"</formula>
    </cfRule>
  </conditionalFormatting>
  <conditionalFormatting sqref="L6:L12">
    <cfRule type="expression" dxfId="3" priority="10" stopIfTrue="1">
      <formula>$B$20="N/A"</formula>
    </cfRule>
  </conditionalFormatting>
  <conditionalFormatting sqref="L19">
    <cfRule type="expression" dxfId="2" priority="9" stopIfTrue="1">
      <formula>$B$20="N/A"</formula>
    </cfRule>
  </conditionalFormatting>
  <conditionalFormatting sqref="M7 M9:M10 A13:A17 L14:L15 B16:D16 L17 A19:A20 A21:B21 B23 B25 B27 B30">
    <cfRule type="expression" dxfId="1" priority="7" stopIfTrue="1">
      <formula>$B$20="N/A"</formula>
    </cfRule>
  </conditionalFormatting>
  <pageMargins left="0.7" right="0.7" top="0.75" bottom="0.75" header="0.3" footer="0.3"/>
  <pageSetup orientation="portrait" horizontalDpi="200" verticalDpi="200" r:id="rId1"/>
  <drawing r:id="rId2"/>
  <extLst>
    <ext xmlns:x14="http://schemas.microsoft.com/office/spreadsheetml/2009/9/main" uri="{78C0D931-6437-407d-A8EE-F0AAD7539E65}">
      <x14:conditionalFormattings>
        <x14:conditionalFormatting xmlns:xm="http://schemas.microsoft.com/office/excel/2006/main">
          <x14:cfRule type="expression" priority="5" id="{5A0052C1-56AF-45B7-813D-9F250A8FF7F7}">
            <xm:f>Input!$C$19="No"</xm:f>
            <x14:dxf>
              <font>
                <color theme="0"/>
              </font>
              <fill>
                <patternFill patternType="none">
                  <bgColor auto="1"/>
                </patternFill>
              </fill>
              <border>
                <left/>
                <right/>
                <top/>
                <bottom/>
                <vertical/>
                <horizontal/>
              </border>
            </x14:dxf>
          </x14:cfRule>
          <xm:sqref>A9:B9</xm:sqref>
        </x14:conditionalFormatting>
        <x14:conditionalFormatting xmlns:xm="http://schemas.microsoft.com/office/excel/2006/main">
          <x14:cfRule type="expression" priority="1" stopIfTrue="1" id="{A34F7F56-304E-4568-B0C9-0790B3D879A2}">
            <xm:f>Input!$C$19="No"</xm:f>
            <x14:dxf>
              <font>
                <color theme="0"/>
              </font>
              <fill>
                <patternFill patternType="none">
                  <bgColor auto="1"/>
                </patternFill>
              </fill>
              <border>
                <left/>
                <right/>
                <top/>
                <bottom/>
                <vertical/>
                <horizontal/>
              </border>
            </x14:dxf>
          </x14:cfRule>
          <xm:sqref>A26:B26</xm:sqref>
        </x14:conditionalFormatting>
        <x14:conditionalFormatting xmlns:xm="http://schemas.microsoft.com/office/excel/2006/main">
          <x14:cfRule type="cellIs" priority="6" operator="between" id="{9842BF34-BA5C-4C8E-894B-AF923C0D1579}">
            <xm:f>0</xm:f>
            <xm:f>Extension!$I$51</xm:f>
            <x14:dxf>
              <fill>
                <patternFill>
                  <bgColor rgb="FFCCFFCC"/>
                </patternFill>
              </fill>
            </x14:dxf>
          </x14:cfRule>
          <xm:sqref>B19</xm:sqref>
        </x14:conditionalFormatting>
        <x14:conditionalFormatting xmlns:xm="http://schemas.microsoft.com/office/excel/2006/main">
          <x14:cfRule type="expression" priority="4" id="{0EB83AB1-A648-4161-983F-346B42E46DD8}">
            <xm:f>Input!$C$19="No"</xm:f>
            <x14:dxf>
              <font>
                <color theme="0"/>
              </font>
            </x14:dxf>
          </x14:cfRule>
          <xm:sqref>C11</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96575-EDED-4EFA-A1AE-ABB7E1B94763}">
  <sheetPr>
    <tabColor theme="7" tint="0.59999389629810485"/>
    <pageSetUpPr fitToPage="1"/>
  </sheetPr>
  <dimension ref="A1:U88"/>
  <sheetViews>
    <sheetView showGridLines="0" zoomScale="115" zoomScaleNormal="115" workbookViewId="0">
      <selection activeCell="S23" sqref="S23"/>
    </sheetView>
  </sheetViews>
  <sheetFormatPr defaultColWidth="0" defaultRowHeight="15.5" zeroHeight="1" x14ac:dyDescent="0.35"/>
  <cols>
    <col min="1" max="1" width="4.7265625" style="212" customWidth="1"/>
    <col min="2" max="2" width="1.26953125" style="212" customWidth="1"/>
    <col min="3" max="3" width="6.7265625" style="212" customWidth="1"/>
    <col min="4" max="4" width="13.54296875" style="212" customWidth="1"/>
    <col min="5" max="6" width="7.7265625" style="212" customWidth="1"/>
    <col min="7" max="7" width="6" style="212" customWidth="1"/>
    <col min="8" max="8" width="12" style="212" customWidth="1"/>
    <col min="9" max="9" width="16.26953125" style="212" customWidth="1"/>
    <col min="10" max="11" width="2.7265625" style="212" customWidth="1"/>
    <col min="12" max="12" width="7.7265625" style="212" customWidth="1"/>
    <col min="13" max="13" width="6" style="212" customWidth="1"/>
    <col min="14" max="14" width="4.453125" style="212" customWidth="1"/>
    <col min="15" max="15" width="5.7265625" style="212" customWidth="1"/>
    <col min="16" max="16" width="1.26953125" style="212" customWidth="1"/>
    <col min="17" max="17" width="3.453125" style="229" customWidth="1"/>
    <col min="18" max="18" width="31.453125" style="229" customWidth="1"/>
    <col min="19" max="19" width="36.81640625" style="229" customWidth="1"/>
    <col min="20" max="20" width="9.26953125" style="212" customWidth="1"/>
    <col min="21" max="21" width="9.26953125" style="212" hidden="1" customWidth="1"/>
    <col min="22" max="16384" width="0" style="212" hidden="1"/>
  </cols>
  <sheetData>
    <row r="1" spans="1:21" ht="12.4" customHeight="1" x14ac:dyDescent="0.35">
      <c r="A1" s="219"/>
      <c r="B1" s="219"/>
      <c r="C1" s="219"/>
      <c r="D1" s="219"/>
      <c r="E1" s="219"/>
      <c r="F1" s="219"/>
      <c r="G1" s="219"/>
      <c r="H1" s="219"/>
      <c r="I1" s="219"/>
      <c r="J1" s="219"/>
      <c r="K1" s="219"/>
      <c r="L1" s="219"/>
      <c r="M1" s="219"/>
      <c r="N1" s="219"/>
      <c r="O1" s="219"/>
      <c r="P1" s="219"/>
      <c r="Q1" s="228"/>
      <c r="R1" s="228"/>
      <c r="S1" s="228"/>
      <c r="T1" s="219"/>
      <c r="U1" s="211"/>
    </row>
    <row r="2" spans="1:21" ht="6" customHeight="1" x14ac:dyDescent="0.35">
      <c r="A2" s="219"/>
      <c r="B2" s="220"/>
      <c r="C2" s="220"/>
      <c r="D2" s="220"/>
      <c r="E2" s="220"/>
      <c r="F2" s="220"/>
      <c r="G2" s="220"/>
      <c r="H2" s="220"/>
      <c r="I2" s="220"/>
      <c r="J2" s="220"/>
      <c r="K2" s="220"/>
      <c r="L2" s="220"/>
      <c r="M2" s="220"/>
      <c r="N2" s="220"/>
      <c r="O2" s="220"/>
      <c r="P2" s="220"/>
      <c r="Q2" s="228"/>
      <c r="R2" s="228"/>
      <c r="S2" s="228"/>
      <c r="T2" s="219"/>
      <c r="U2" s="211"/>
    </row>
    <row r="3" spans="1:21" ht="12.4" customHeight="1" x14ac:dyDescent="0.35">
      <c r="A3" s="219"/>
      <c r="B3" s="220"/>
      <c r="C3" s="219"/>
      <c r="D3" s="219"/>
      <c r="E3" s="219"/>
      <c r="F3" s="219"/>
      <c r="G3" s="219"/>
      <c r="H3" s="219"/>
      <c r="I3" s="219"/>
      <c r="J3" s="219"/>
      <c r="K3" s="219"/>
      <c r="L3" s="219"/>
      <c r="M3" s="219"/>
      <c r="N3" s="219"/>
      <c r="O3" s="219"/>
      <c r="P3" s="220"/>
      <c r="Q3" s="228"/>
      <c r="R3" s="228"/>
      <c r="S3" s="228"/>
      <c r="T3" s="219"/>
      <c r="U3" s="211"/>
    </row>
    <row r="4" spans="1:21" ht="12.4" customHeight="1" x14ac:dyDescent="0.35">
      <c r="B4" s="216"/>
      <c r="C4" s="213"/>
      <c r="D4" s="329" t="s">
        <v>138</v>
      </c>
      <c r="E4" s="329"/>
      <c r="F4" s="329"/>
      <c r="G4" s="329"/>
      <c r="H4" s="329"/>
      <c r="I4" s="329"/>
      <c r="J4" s="329"/>
      <c r="K4" s="329"/>
      <c r="L4" s="329"/>
      <c r="M4" s="329"/>
      <c r="N4" s="213"/>
      <c r="P4" s="216"/>
    </row>
    <row r="5" spans="1:21" ht="12.4" customHeight="1" x14ac:dyDescent="0.35">
      <c r="A5" s="214"/>
      <c r="B5" s="216"/>
      <c r="C5" s="214"/>
      <c r="D5" s="329">
        <f>+S7</f>
        <v>0</v>
      </c>
      <c r="E5" s="329"/>
      <c r="F5" s="329"/>
      <c r="G5" s="329"/>
      <c r="H5" s="329"/>
      <c r="I5" s="329"/>
      <c r="J5" s="329"/>
      <c r="K5" s="329"/>
      <c r="L5" s="329"/>
      <c r="M5" s="329"/>
      <c r="N5" s="214"/>
      <c r="P5" s="216"/>
    </row>
    <row r="6" spans="1:21" x14ac:dyDescent="0.35">
      <c r="A6" s="210"/>
      <c r="B6" s="221"/>
      <c r="C6" s="210"/>
      <c r="D6" s="210"/>
      <c r="E6" s="210"/>
      <c r="F6" s="210"/>
      <c r="G6" s="210"/>
      <c r="H6" s="210"/>
      <c r="I6" s="210"/>
      <c r="J6" s="210"/>
      <c r="K6" s="210"/>
      <c r="L6" s="210"/>
      <c r="M6" s="210"/>
      <c r="N6" s="210"/>
      <c r="P6" s="216"/>
      <c r="R6" s="233" t="s">
        <v>170</v>
      </c>
      <c r="S6" s="212"/>
    </row>
    <row r="7" spans="1:21" x14ac:dyDescent="0.35">
      <c r="B7" s="222"/>
      <c r="C7" s="217" t="s">
        <v>139</v>
      </c>
      <c r="D7" s="83" t="str">
        <f>"A public hearing to approve a proposed property tax levy increase for "&amp;S7&amp;" "</f>
        <v xml:space="preserve">A public hearing to approve a proposed property tax levy increase for  </v>
      </c>
      <c r="E7" s="158"/>
      <c r="F7" s="158"/>
      <c r="G7" s="158"/>
      <c r="H7" s="158"/>
      <c r="I7" s="158"/>
      <c r="J7" s="158"/>
      <c r="K7" s="158"/>
      <c r="L7" s="158"/>
      <c r="M7" s="158"/>
      <c r="N7" s="158"/>
      <c r="O7" s="158"/>
      <c r="P7" s="216"/>
      <c r="R7" s="234" t="s">
        <v>171</v>
      </c>
      <c r="S7" s="235"/>
    </row>
    <row r="8" spans="1:21" x14ac:dyDescent="0.35">
      <c r="B8" s="222"/>
      <c r="C8" s="218"/>
      <c r="D8" s="158" t="str">
        <f>IF(Input!$C$14=0,Input!$C$13&amp;" County",IF(Input!$C$15=0,Input!$C$13&amp;" and "&amp;Input!$C$14&amp;" Counties",IF(Input!$C$16=0,Input!$C$13&amp;", "&amp;Input!$C$14&amp;" and "&amp;Input!$C$15&amp;" Counties",Input!$C$13&amp;", "&amp;Input!$C$14&amp;", "&amp;Input!$C$15&amp;" and "&amp;Input!$C$16&amp;" Counties")))&amp;", Illinois for "&amp;Input!C9&amp;" "</f>
        <v xml:space="preserve"> County, Illinois for 2025 </v>
      </c>
      <c r="E8" s="158"/>
      <c r="F8" s="158"/>
      <c r="G8" s="158"/>
      <c r="H8" s="158"/>
      <c r="I8" s="158"/>
      <c r="J8" s="158"/>
      <c r="K8" s="158"/>
      <c r="L8" s="158"/>
      <c r="M8" s="158"/>
      <c r="N8" s="158"/>
      <c r="O8" s="158"/>
      <c r="P8" s="216"/>
      <c r="R8" s="234" t="s">
        <v>148</v>
      </c>
      <c r="S8" s="249"/>
      <c r="T8" s="231" t="str">
        <f>TEXT(S8,"mmmm dd, yyyy")</f>
        <v>January 00, 1900</v>
      </c>
    </row>
    <row r="9" spans="1:21" x14ac:dyDescent="0.35">
      <c r="A9" s="215"/>
      <c r="B9" s="222"/>
      <c r="C9" s="218"/>
      <c r="D9" s="232" t="str">
        <f>"will be held on "&amp;T8&amp;" at "&amp;$S$10&amp;", "&amp;$S$11&amp;", IL "&amp;S12&amp;" at "&amp;$S$9&amp;"."</f>
        <v>will be held on January 00, 1900 at , , IL  at .</v>
      </c>
      <c r="E9" s="158"/>
      <c r="F9" s="158"/>
      <c r="G9" s="158"/>
      <c r="H9" s="158"/>
      <c r="I9" s="158"/>
      <c r="J9" s="158"/>
      <c r="K9" s="158"/>
      <c r="L9" s="158"/>
      <c r="M9" s="158"/>
      <c r="N9" s="158"/>
      <c r="O9" s="158"/>
      <c r="P9" s="216"/>
      <c r="R9" s="234" t="s">
        <v>180</v>
      </c>
      <c r="S9" s="242"/>
    </row>
    <row r="10" spans="1:21" x14ac:dyDescent="0.35">
      <c r="A10" s="215"/>
      <c r="B10" s="222"/>
      <c r="C10" s="218"/>
      <c r="D10" s="158"/>
      <c r="E10" s="158"/>
      <c r="F10" s="158"/>
      <c r="G10" s="158"/>
      <c r="H10" s="158"/>
      <c r="I10" s="158"/>
      <c r="J10" s="158"/>
      <c r="K10" s="158"/>
      <c r="L10" s="158"/>
      <c r="M10" s="158"/>
      <c r="N10" s="158"/>
      <c r="O10" s="158"/>
      <c r="P10" s="216"/>
      <c r="R10" s="234" t="s">
        <v>149</v>
      </c>
      <c r="S10" s="235"/>
    </row>
    <row r="11" spans="1:21" x14ac:dyDescent="0.35">
      <c r="A11" s="215"/>
      <c r="B11" s="223"/>
      <c r="C11" s="12"/>
      <c r="D11" s="158"/>
      <c r="E11" s="158"/>
      <c r="F11" s="158"/>
      <c r="G11" s="158"/>
      <c r="H11" s="158"/>
      <c r="I11" s="158"/>
      <c r="J11" s="158"/>
      <c r="K11" s="158"/>
      <c r="L11" s="158"/>
      <c r="M11" s="158"/>
      <c r="N11" s="158"/>
      <c r="O11" s="158"/>
      <c r="P11" s="216"/>
      <c r="R11" s="234" t="s">
        <v>150</v>
      </c>
      <c r="S11" s="235"/>
    </row>
    <row r="12" spans="1:21" x14ac:dyDescent="0.35">
      <c r="A12" s="219"/>
      <c r="B12" s="222"/>
      <c r="C12" s="12"/>
      <c r="D12" s="1" t="s">
        <v>147</v>
      </c>
      <c r="E12" s="1"/>
      <c r="F12" s="1"/>
      <c r="G12" s="1"/>
      <c r="H12" s="1"/>
      <c r="I12" s="1"/>
      <c r="J12" s="1"/>
      <c r="K12" s="1"/>
      <c r="L12" s="1"/>
      <c r="M12" s="1"/>
      <c r="N12" s="1"/>
      <c r="O12" s="1"/>
      <c r="P12" s="220"/>
      <c r="Q12" s="228"/>
      <c r="R12" s="234" t="s">
        <v>151</v>
      </c>
      <c r="S12" s="235"/>
      <c r="T12" s="219"/>
      <c r="U12" s="211"/>
    </row>
    <row r="13" spans="1:21" x14ac:dyDescent="0.35">
      <c r="A13" s="219"/>
      <c r="B13" s="222"/>
      <c r="C13" s="12"/>
      <c r="D13" s="1" t="str">
        <f>"district may contact "&amp;S14&amp;" at "&amp;S15&amp;"."</f>
        <v>district may contact  at .</v>
      </c>
      <c r="E13" s="1"/>
      <c r="F13" s="1"/>
      <c r="G13" s="1"/>
      <c r="H13" s="1"/>
      <c r="I13" s="1"/>
      <c r="J13" s="1"/>
      <c r="K13" s="1"/>
      <c r="L13" s="1"/>
      <c r="M13" s="1"/>
      <c r="N13" s="1"/>
      <c r="O13" s="1"/>
      <c r="P13" s="220"/>
      <c r="Q13" s="228"/>
      <c r="R13" s="234"/>
      <c r="S13" s="236"/>
      <c r="T13" s="219"/>
      <c r="U13" s="211"/>
    </row>
    <row r="14" spans="1:21" x14ac:dyDescent="0.35">
      <c r="A14" s="219"/>
      <c r="B14" s="222"/>
      <c r="C14" s="12"/>
      <c r="D14" s="1"/>
      <c r="E14" s="1"/>
      <c r="F14" s="1"/>
      <c r="G14" s="1"/>
      <c r="H14" s="1"/>
      <c r="I14" s="1"/>
      <c r="J14" s="1"/>
      <c r="K14" s="1"/>
      <c r="L14" s="1"/>
      <c r="M14" s="1"/>
      <c r="N14" s="1"/>
      <c r="O14" s="1"/>
      <c r="P14" s="220"/>
      <c r="Q14" s="228"/>
      <c r="R14" s="234" t="s">
        <v>172</v>
      </c>
      <c r="S14" s="235"/>
      <c r="T14" s="219"/>
      <c r="U14" s="211"/>
    </row>
    <row r="15" spans="1:21" x14ac:dyDescent="0.35">
      <c r="A15" s="219"/>
      <c r="B15" s="222"/>
      <c r="C15" s="12"/>
      <c r="D15" s="1"/>
      <c r="E15" s="1"/>
      <c r="F15" s="1"/>
      <c r="G15" s="1"/>
      <c r="H15" s="1"/>
      <c r="I15" s="1"/>
      <c r="J15" s="1"/>
      <c r="K15" s="1"/>
      <c r="L15" s="1"/>
      <c r="M15" s="1"/>
      <c r="N15" s="1"/>
      <c r="O15" s="1"/>
      <c r="P15" s="220"/>
      <c r="Q15" s="228"/>
      <c r="R15" s="234" t="s">
        <v>173</v>
      </c>
      <c r="S15" s="250"/>
      <c r="T15" s="219"/>
      <c r="U15" s="211"/>
    </row>
    <row r="16" spans="1:21" x14ac:dyDescent="0.35">
      <c r="A16" s="219"/>
      <c r="B16" s="222"/>
      <c r="C16" s="12"/>
      <c r="D16" s="1"/>
      <c r="E16" s="1"/>
      <c r="F16" s="1"/>
      <c r="G16" s="1"/>
      <c r="H16" s="1"/>
      <c r="I16" s="1"/>
      <c r="J16" s="1"/>
      <c r="K16" s="1"/>
      <c r="L16" s="1"/>
      <c r="M16" s="1"/>
      <c r="N16" s="1"/>
      <c r="O16" s="1"/>
      <c r="P16" s="220"/>
      <c r="Q16" s="228"/>
      <c r="R16" s="237" t="s">
        <v>152</v>
      </c>
      <c r="S16" s="228"/>
      <c r="T16" s="219"/>
      <c r="U16" s="211"/>
    </row>
    <row r="17" spans="1:21" x14ac:dyDescent="0.35">
      <c r="A17" s="219"/>
      <c r="B17" s="222"/>
      <c r="C17" s="224" t="s">
        <v>140</v>
      </c>
      <c r="D17" s="1" t="str">
        <f>"The corporate and special purpose property taxes extended or abated for "&amp;Input!C9-"1 "&amp;" were"</f>
        <v>The corporate and special purpose property taxes extended or abated for 2024 were</v>
      </c>
      <c r="E17" s="1"/>
      <c r="F17" s="1"/>
      <c r="G17" s="1"/>
      <c r="H17" s="1"/>
      <c r="I17" s="1"/>
      <c r="J17" s="1"/>
      <c r="K17" s="1"/>
      <c r="L17" s="1"/>
      <c r="M17" s="1"/>
      <c r="N17" s="1"/>
      <c r="O17" s="1"/>
      <c r="P17" s="220"/>
      <c r="Q17" s="228"/>
      <c r="R17" s="228"/>
      <c r="S17" s="228"/>
      <c r="T17" s="219"/>
      <c r="U17" s="211"/>
    </row>
    <row r="18" spans="1:21" x14ac:dyDescent="0.35">
      <c r="A18" s="219"/>
      <c r="B18" s="222"/>
      <c r="C18" s="12"/>
      <c r="D18" s="225">
        <f>IF(Input!$C$19="Yes",Input!$D$74+Input!$D$76+Input!$D$78,Input!$D$74+Input!$D$76)</f>
        <v>0</v>
      </c>
      <c r="E18" s="1"/>
      <c r="F18" s="1"/>
      <c r="G18" s="1"/>
      <c r="H18" s="1"/>
      <c r="I18" s="1"/>
      <c r="J18" s="1"/>
      <c r="K18" s="1"/>
      <c r="L18" s="1"/>
      <c r="M18" s="1"/>
      <c r="N18" s="1"/>
      <c r="O18" s="1"/>
      <c r="P18" s="220"/>
      <c r="Q18" s="228"/>
      <c r="R18" s="228"/>
      <c r="S18" s="228"/>
      <c r="T18" s="219"/>
      <c r="U18" s="211"/>
    </row>
    <row r="19" spans="1:21" x14ac:dyDescent="0.35">
      <c r="A19" s="219"/>
      <c r="B19" s="222"/>
      <c r="C19" s="12"/>
      <c r="D19" s="225"/>
      <c r="E19" s="1"/>
      <c r="F19" s="1"/>
      <c r="G19" s="1"/>
      <c r="H19" s="1"/>
      <c r="I19" s="1"/>
      <c r="J19" s="1"/>
      <c r="K19" s="1"/>
      <c r="L19" s="1"/>
      <c r="M19" s="1"/>
      <c r="N19" s="1"/>
      <c r="O19" s="1"/>
      <c r="P19" s="220"/>
      <c r="Q19" s="228"/>
      <c r="R19" s="228"/>
      <c r="S19" s="228"/>
      <c r="T19" s="219"/>
      <c r="U19" s="211"/>
    </row>
    <row r="20" spans="1:21" x14ac:dyDescent="0.35">
      <c r="A20" s="219"/>
      <c r="B20" s="222"/>
      <c r="C20" s="12"/>
      <c r="D20" s="1"/>
      <c r="E20" s="1"/>
      <c r="F20" s="1"/>
      <c r="G20" s="1"/>
      <c r="H20" s="1"/>
      <c r="I20" s="1"/>
      <c r="J20" s="1"/>
      <c r="K20" s="1"/>
      <c r="L20" s="1"/>
      <c r="M20" s="1"/>
      <c r="N20" s="1"/>
      <c r="O20" s="1"/>
      <c r="P20" s="220"/>
      <c r="Q20" s="228"/>
      <c r="R20" s="228"/>
      <c r="S20" s="228"/>
      <c r="T20" s="219"/>
      <c r="U20" s="211"/>
    </row>
    <row r="21" spans="1:21" x14ac:dyDescent="0.35">
      <c r="A21" s="219"/>
      <c r="B21" s="220"/>
      <c r="C21" s="12"/>
      <c r="D21" s="1" t="str">
        <f>"The proposed corporate and special purpose property taxes to be levied for "&amp;Input!C9 &amp;" are"</f>
        <v>The proposed corporate and special purpose property taxes to be levied for 2025 are</v>
      </c>
      <c r="E21" s="1"/>
      <c r="F21" s="1"/>
      <c r="G21" s="1"/>
      <c r="H21" s="1"/>
      <c r="I21" s="1"/>
      <c r="J21" s="1"/>
      <c r="K21" s="1"/>
      <c r="L21" s="1"/>
      <c r="M21" s="1"/>
      <c r="N21" s="1"/>
      <c r="O21" s="1"/>
      <c r="P21" s="220"/>
      <c r="Q21" s="228"/>
      <c r="R21" s="228"/>
      <c r="S21" s="228"/>
      <c r="T21" s="219"/>
      <c r="U21" s="211"/>
    </row>
    <row r="22" spans="1:21" x14ac:dyDescent="0.35">
      <c r="A22" s="219"/>
      <c r="B22" s="220"/>
      <c r="C22" s="12"/>
      <c r="D22" s="225" t="e">
        <f>IF(Input!$C$19="Yes",Calculations!$J$39+Calculations!$J$43+Calculations!$J$45,Calculations!$J$39+Calculations!$J$43)</f>
        <v>#DIV/0!</v>
      </c>
      <c r="E22" s="330" t="e">
        <f>(D22-D18)/D18</f>
        <v>#DIV/0!</v>
      </c>
      <c r="F22" s="330"/>
      <c r="G22" s="330"/>
      <c r="H22" s="330"/>
      <c r="I22" s="330"/>
      <c r="J22" s="330"/>
      <c r="K22" s="330"/>
      <c r="L22" s="330"/>
      <c r="M22" s="1"/>
      <c r="N22" s="1"/>
      <c r="O22" s="1"/>
      <c r="P22" s="220"/>
      <c r="Q22" s="228"/>
      <c r="R22" s="228"/>
      <c r="S22" s="228"/>
      <c r="T22" s="219"/>
      <c r="U22" s="211"/>
    </row>
    <row r="23" spans="1:21" x14ac:dyDescent="0.35">
      <c r="A23" s="219"/>
      <c r="B23" s="220"/>
      <c r="C23" s="12"/>
      <c r="D23" s="225"/>
      <c r="E23" s="227"/>
      <c r="F23" s="227"/>
      <c r="G23" s="227"/>
      <c r="H23" s="227"/>
      <c r="I23" s="227"/>
      <c r="J23" s="227"/>
      <c r="K23" s="227"/>
      <c r="L23" s="227"/>
      <c r="M23" s="1"/>
      <c r="N23" s="1"/>
      <c r="O23" s="1"/>
      <c r="P23" s="220"/>
      <c r="Q23" s="228"/>
      <c r="R23" s="228"/>
      <c r="S23" s="228"/>
      <c r="T23" s="219"/>
      <c r="U23" s="211"/>
    </row>
    <row r="24" spans="1:21" x14ac:dyDescent="0.35">
      <c r="A24" s="219"/>
      <c r="B24" s="220"/>
      <c r="C24" s="12"/>
      <c r="D24" s="1"/>
      <c r="E24" s="1"/>
      <c r="F24" s="1"/>
      <c r="G24" s="1"/>
      <c r="H24" s="1"/>
      <c r="I24" s="1"/>
      <c r="J24" s="1"/>
      <c r="K24" s="1"/>
      <c r="L24" s="1"/>
      <c r="M24" s="1"/>
      <c r="N24" s="1"/>
      <c r="O24" s="1"/>
      <c r="P24" s="220"/>
      <c r="Q24" s="228"/>
      <c r="R24" s="228"/>
      <c r="S24" s="228"/>
      <c r="T24" s="219"/>
      <c r="U24" s="211"/>
    </row>
    <row r="25" spans="1:21" x14ac:dyDescent="0.35">
      <c r="A25" s="219"/>
      <c r="B25" s="220"/>
      <c r="C25" s="224" t="s">
        <v>141</v>
      </c>
      <c r="D25" s="1" t="str">
        <f>"The property taxes extended for debt services and public building commission leases for "&amp;Input!C9-"1 "&amp;" were"</f>
        <v>The property taxes extended for debt services and public building commission leases for 2024 were</v>
      </c>
      <c r="E25" s="1"/>
      <c r="F25" s="1"/>
      <c r="G25" s="1"/>
      <c r="H25" s="1"/>
      <c r="I25" s="1"/>
      <c r="J25" s="1"/>
      <c r="K25" s="1"/>
      <c r="L25" s="1"/>
      <c r="M25" s="1"/>
      <c r="N25" s="1"/>
      <c r="O25" s="1"/>
      <c r="P25" s="220"/>
      <c r="Q25" s="228"/>
      <c r="R25" s="228"/>
      <c r="S25" s="228"/>
      <c r="T25" s="219"/>
      <c r="U25" s="211"/>
    </row>
    <row r="26" spans="1:21" x14ac:dyDescent="0.35">
      <c r="A26" s="219"/>
      <c r="B26" s="220"/>
      <c r="C26" s="12"/>
      <c r="D26" s="225">
        <f>Input!D80</f>
        <v>0</v>
      </c>
      <c r="E26" s="1"/>
      <c r="F26" s="1"/>
      <c r="G26" s="1"/>
      <c r="H26" s="1"/>
      <c r="I26" s="1"/>
      <c r="J26" s="1"/>
      <c r="K26" s="1"/>
      <c r="L26" s="1"/>
      <c r="M26" s="1"/>
      <c r="N26" s="1"/>
      <c r="O26" s="1"/>
      <c r="P26" s="220"/>
      <c r="Q26" s="228"/>
      <c r="R26" s="228"/>
      <c r="S26" s="228"/>
      <c r="T26" s="219"/>
      <c r="U26" s="211"/>
    </row>
    <row r="27" spans="1:21" x14ac:dyDescent="0.35">
      <c r="A27" s="219"/>
      <c r="B27" s="220"/>
      <c r="C27" s="12"/>
      <c r="D27" s="225"/>
      <c r="E27" s="1"/>
      <c r="F27" s="1"/>
      <c r="G27" s="1"/>
      <c r="H27" s="1"/>
      <c r="I27" s="1"/>
      <c r="J27" s="1"/>
      <c r="K27" s="1"/>
      <c r="L27" s="1"/>
      <c r="M27" s="1"/>
      <c r="N27" s="1"/>
      <c r="O27" s="1"/>
      <c r="P27" s="220"/>
      <c r="Q27" s="228"/>
      <c r="R27" s="228"/>
      <c r="S27" s="228"/>
      <c r="T27" s="219"/>
      <c r="U27" s="211"/>
    </row>
    <row r="28" spans="1:21" x14ac:dyDescent="0.35">
      <c r="A28" s="219"/>
      <c r="B28" s="220"/>
      <c r="C28" s="12"/>
      <c r="D28" s="1"/>
      <c r="E28" s="1"/>
      <c r="F28" s="1"/>
      <c r="G28" s="1"/>
      <c r="H28" s="1"/>
      <c r="I28" s="1"/>
      <c r="J28" s="1"/>
      <c r="K28" s="1"/>
      <c r="L28" s="1"/>
      <c r="M28" s="1"/>
      <c r="N28" s="1"/>
      <c r="O28" s="1"/>
      <c r="P28" s="220"/>
      <c r="Q28" s="228"/>
      <c r="R28" s="228"/>
      <c r="S28" s="228"/>
      <c r="T28" s="219"/>
      <c r="U28" s="211"/>
    </row>
    <row r="29" spans="1:21" x14ac:dyDescent="0.35">
      <c r="A29" s="219"/>
      <c r="B29" s="220"/>
      <c r="C29" s="12"/>
      <c r="D29" s="1" t="str">
        <f>"The estimated property taxes to be levied for debt service and public building commission leases for "&amp;Input!C9 &amp;" are"</f>
        <v>The estimated property taxes to be levied for debt service and public building commission leases for 2025 are</v>
      </c>
      <c r="E29" s="1"/>
      <c r="F29" s="1"/>
      <c r="G29" s="1"/>
      <c r="H29" s="1"/>
      <c r="I29" s="1"/>
      <c r="J29" s="1"/>
      <c r="K29" s="1"/>
      <c r="L29" s="1"/>
      <c r="M29" s="1"/>
      <c r="N29" s="1"/>
      <c r="O29" s="1"/>
      <c r="P29" s="220"/>
      <c r="Q29" s="228"/>
      <c r="R29" s="228"/>
      <c r="S29" s="228"/>
      <c r="T29" s="219"/>
      <c r="U29" s="211"/>
    </row>
    <row r="30" spans="1:21" x14ac:dyDescent="0.35">
      <c r="A30" s="219"/>
      <c r="B30" s="220"/>
      <c r="C30" s="12"/>
      <c r="D30" s="225">
        <f>Calculations!J47</f>
        <v>0</v>
      </c>
      <c r="E30" s="1"/>
      <c r="F30" s="1"/>
      <c r="G30" s="1"/>
      <c r="H30" s="1"/>
      <c r="I30" s="1"/>
      <c r="J30" s="1"/>
      <c r="K30" s="1"/>
      <c r="L30" s="1"/>
      <c r="M30" s="1"/>
      <c r="N30" s="1"/>
      <c r="O30" s="1"/>
      <c r="P30" s="220"/>
      <c r="Q30" s="228"/>
      <c r="R30" s="228"/>
      <c r="S30" s="228"/>
      <c r="T30" s="219"/>
      <c r="U30" s="211"/>
    </row>
    <row r="31" spans="1:21" x14ac:dyDescent="0.35">
      <c r="A31" s="219"/>
      <c r="B31" s="220"/>
      <c r="C31" s="12"/>
      <c r="D31" s="225"/>
      <c r="E31" s="1"/>
      <c r="F31" s="1"/>
      <c r="G31" s="1"/>
      <c r="H31" s="1"/>
      <c r="I31" s="1"/>
      <c r="J31" s="1"/>
      <c r="K31" s="1"/>
      <c r="L31" s="1"/>
      <c r="M31" s="1"/>
      <c r="N31" s="1"/>
      <c r="O31" s="1"/>
      <c r="P31" s="220"/>
      <c r="Q31" s="228"/>
      <c r="R31" s="228"/>
      <c r="S31" s="228"/>
      <c r="T31" s="219"/>
      <c r="U31" s="211"/>
    </row>
    <row r="32" spans="1:21" x14ac:dyDescent="0.35">
      <c r="A32" s="219"/>
      <c r="B32" s="220"/>
      <c r="C32" s="12"/>
      <c r="D32" s="1"/>
      <c r="E32" s="1"/>
      <c r="F32" s="1"/>
      <c r="G32" s="1"/>
      <c r="H32" s="1"/>
      <c r="I32" s="1"/>
      <c r="J32" s="1"/>
      <c r="K32" s="1"/>
      <c r="L32" s="1"/>
      <c r="M32" s="1"/>
      <c r="N32" s="1"/>
      <c r="O32" s="1"/>
      <c r="P32" s="220"/>
      <c r="Q32" s="228"/>
      <c r="R32" s="228"/>
      <c r="S32" s="228"/>
      <c r="T32" s="219"/>
      <c r="U32" s="211"/>
    </row>
    <row r="33" spans="1:21" x14ac:dyDescent="0.35">
      <c r="A33" s="219"/>
      <c r="B33" s="220"/>
      <c r="C33" s="224" t="s">
        <v>142</v>
      </c>
      <c r="D33" s="1" t="str">
        <f>"The total property taxes extended or abated for "&amp;Input!C9-"1 "&amp;" were"</f>
        <v>The total property taxes extended or abated for 2024 were</v>
      </c>
      <c r="E33" s="1"/>
      <c r="F33" s="1"/>
      <c r="G33" s="1"/>
      <c r="H33" s="1"/>
      <c r="I33" s="1"/>
      <c r="J33" s="1"/>
      <c r="K33" s="1"/>
      <c r="L33" s="1"/>
      <c r="M33" s="1"/>
      <c r="N33" s="1"/>
      <c r="O33" s="1"/>
      <c r="P33" s="220"/>
      <c r="Q33" s="228"/>
      <c r="R33" s="228"/>
      <c r="S33" s="228"/>
      <c r="T33" s="219"/>
      <c r="U33" s="211"/>
    </row>
    <row r="34" spans="1:21" x14ac:dyDescent="0.35">
      <c r="A34" s="219"/>
      <c r="B34" s="220"/>
      <c r="C34" s="1"/>
      <c r="D34" s="225">
        <f>D18+D26</f>
        <v>0</v>
      </c>
      <c r="E34" s="1"/>
      <c r="F34" s="1"/>
      <c r="G34" s="1"/>
      <c r="H34" s="1"/>
      <c r="I34" s="1"/>
      <c r="J34" s="1"/>
      <c r="K34" s="1"/>
      <c r="L34" s="1"/>
      <c r="M34" s="1"/>
      <c r="N34" s="1"/>
      <c r="O34" s="1"/>
      <c r="P34" s="220"/>
      <c r="Q34" s="228"/>
      <c r="R34" s="228"/>
      <c r="S34" s="228"/>
      <c r="T34" s="219"/>
      <c r="U34" s="211"/>
    </row>
    <row r="35" spans="1:21" x14ac:dyDescent="0.35">
      <c r="A35" s="219"/>
      <c r="B35" s="220"/>
      <c r="C35" s="1"/>
      <c r="D35" s="1"/>
      <c r="E35" s="1"/>
      <c r="F35" s="1"/>
      <c r="G35" s="1"/>
      <c r="H35" s="1"/>
      <c r="I35" s="1"/>
      <c r="J35" s="1"/>
      <c r="K35" s="1"/>
      <c r="L35" s="1"/>
      <c r="M35" s="1"/>
      <c r="N35" s="1"/>
      <c r="O35" s="1"/>
      <c r="P35" s="220"/>
      <c r="Q35" s="228"/>
      <c r="R35" s="228"/>
      <c r="S35" s="228"/>
      <c r="T35" s="219"/>
      <c r="U35" s="211"/>
    </row>
    <row r="36" spans="1:21" x14ac:dyDescent="0.35">
      <c r="A36" s="219"/>
      <c r="B36" s="220"/>
      <c r="C36" s="1"/>
      <c r="D36" s="1" t="str">
        <f>"The estimated total property taxes to be levied for "&amp;Input!C9 &amp;" are"</f>
        <v>The estimated total property taxes to be levied for 2025 are</v>
      </c>
      <c r="E36" s="1"/>
      <c r="F36" s="1"/>
      <c r="G36" s="1"/>
      <c r="H36" s="1"/>
      <c r="I36" s="1"/>
      <c r="J36" s="1"/>
      <c r="K36" s="1"/>
      <c r="L36" s="1"/>
      <c r="M36" s="1"/>
      <c r="N36" s="1"/>
      <c r="O36" s="1"/>
      <c r="P36" s="220"/>
      <c r="Q36" s="228"/>
      <c r="R36" s="228"/>
      <c r="S36" s="228"/>
      <c r="T36" s="219"/>
      <c r="U36" s="211"/>
    </row>
    <row r="37" spans="1:21" x14ac:dyDescent="0.35">
      <c r="A37" s="219"/>
      <c r="B37" s="220"/>
      <c r="C37" s="1"/>
      <c r="D37" s="225" t="e">
        <f>D30+D22</f>
        <v>#DIV/0!</v>
      </c>
      <c r="E37" s="330" t="e">
        <f>(D37-D34)/D34</f>
        <v>#DIV/0!</v>
      </c>
      <c r="F37" s="330"/>
      <c r="G37" s="330"/>
      <c r="H37" s="330"/>
      <c r="I37" s="330"/>
      <c r="J37" s="330"/>
      <c r="K37" s="330"/>
      <c r="L37" s="330"/>
      <c r="M37" s="1"/>
      <c r="N37" s="1"/>
      <c r="O37" s="1"/>
      <c r="P37" s="220"/>
      <c r="Q37" s="228"/>
      <c r="R37" s="228"/>
      <c r="S37" s="228"/>
      <c r="T37" s="219"/>
      <c r="U37" s="211"/>
    </row>
    <row r="38" spans="1:21" x14ac:dyDescent="0.35">
      <c r="A38" s="219"/>
      <c r="B38" s="220"/>
      <c r="C38" s="1"/>
      <c r="D38" s="225"/>
      <c r="E38" s="227"/>
      <c r="F38" s="227"/>
      <c r="G38" s="227"/>
      <c r="H38" s="227"/>
      <c r="I38" s="227"/>
      <c r="J38" s="227"/>
      <c r="K38" s="227"/>
      <c r="L38" s="227"/>
      <c r="M38" s="1"/>
      <c r="N38" s="1"/>
      <c r="O38" s="1"/>
      <c r="P38" s="220"/>
      <c r="Q38" s="228"/>
      <c r="R38" s="228"/>
      <c r="S38" s="228"/>
      <c r="T38" s="219"/>
      <c r="U38" s="211"/>
    </row>
    <row r="39" spans="1:21" x14ac:dyDescent="0.35">
      <c r="A39" s="219"/>
      <c r="B39" s="220"/>
      <c r="C39" s="1"/>
      <c r="D39" s="225"/>
      <c r="E39" s="227"/>
      <c r="F39" s="227"/>
      <c r="G39" s="227"/>
      <c r="H39" s="227"/>
      <c r="I39" s="227"/>
      <c r="J39" s="227"/>
      <c r="K39" s="227"/>
      <c r="L39" s="227"/>
      <c r="M39" s="1"/>
      <c r="N39" s="1"/>
      <c r="O39" s="1"/>
      <c r="P39" s="220"/>
      <c r="Q39" s="228"/>
      <c r="R39" s="228"/>
      <c r="S39" s="228"/>
      <c r="T39" s="219"/>
      <c r="U39" s="211"/>
    </row>
    <row r="40" spans="1:21" x14ac:dyDescent="0.35">
      <c r="A40" s="219"/>
      <c r="B40" s="220"/>
      <c r="C40" s="1"/>
      <c r="D40" s="225"/>
      <c r="E40" s="227"/>
      <c r="F40" s="227"/>
      <c r="G40" s="227"/>
      <c r="H40" s="227"/>
      <c r="I40" s="227"/>
      <c r="J40" s="227"/>
      <c r="K40" s="227"/>
      <c r="L40" s="227"/>
      <c r="M40" s="1"/>
      <c r="N40" s="1"/>
      <c r="O40" s="1"/>
      <c r="P40" s="220"/>
      <c r="Q40" s="228"/>
      <c r="R40" s="228"/>
      <c r="S40" s="228"/>
      <c r="T40" s="219"/>
      <c r="U40" s="211"/>
    </row>
    <row r="41" spans="1:21" x14ac:dyDescent="0.35">
      <c r="A41" s="219"/>
      <c r="B41" s="220"/>
      <c r="C41" s="1"/>
      <c r="D41" s="225"/>
      <c r="E41" s="227"/>
      <c r="F41" s="227"/>
      <c r="G41" s="227"/>
      <c r="H41" s="227"/>
      <c r="I41" s="227"/>
      <c r="J41" s="227"/>
      <c r="K41" s="227"/>
      <c r="L41" s="227"/>
      <c r="M41" s="1"/>
      <c r="N41" s="1"/>
      <c r="O41" s="1"/>
      <c r="P41" s="220"/>
      <c r="Q41" s="228"/>
      <c r="R41" s="228"/>
      <c r="S41" s="228"/>
      <c r="T41" s="219"/>
      <c r="U41" s="211"/>
    </row>
    <row r="42" spans="1:21" x14ac:dyDescent="0.35">
      <c r="A42" s="219"/>
      <c r="B42" s="220"/>
      <c r="C42" s="1"/>
      <c r="D42" s="225"/>
      <c r="E42" s="227"/>
      <c r="F42" s="227"/>
      <c r="G42" s="227"/>
      <c r="H42" s="227"/>
      <c r="I42" s="227"/>
      <c r="J42" s="227"/>
      <c r="K42" s="227"/>
      <c r="L42" s="227"/>
      <c r="M42" s="1"/>
      <c r="N42" s="1"/>
      <c r="O42" s="1"/>
      <c r="P42" s="220"/>
      <c r="Q42" s="228"/>
      <c r="R42" s="228"/>
      <c r="S42" s="228"/>
      <c r="T42" s="219"/>
      <c r="U42" s="211"/>
    </row>
    <row r="43" spans="1:21" x14ac:dyDescent="0.35">
      <c r="A43" s="219"/>
      <c r="B43" s="220"/>
      <c r="C43" s="1"/>
      <c r="D43" s="225"/>
      <c r="E43" s="227"/>
      <c r="F43" s="227"/>
      <c r="G43" s="227"/>
      <c r="H43" s="227"/>
      <c r="I43" s="227"/>
      <c r="J43" s="227"/>
      <c r="K43" s="227"/>
      <c r="L43" s="227"/>
      <c r="M43" s="1"/>
      <c r="N43" s="1"/>
      <c r="O43" s="1"/>
      <c r="P43" s="220"/>
      <c r="Q43" s="228"/>
      <c r="R43" s="228"/>
      <c r="S43" s="228"/>
      <c r="T43" s="219"/>
      <c r="U43" s="211"/>
    </row>
    <row r="44" spans="1:21" x14ac:dyDescent="0.35">
      <c r="A44" s="219"/>
      <c r="B44" s="220"/>
      <c r="C44" s="1"/>
      <c r="D44" s="225"/>
      <c r="E44" s="227"/>
      <c r="F44" s="227"/>
      <c r="G44" s="227"/>
      <c r="H44" s="227"/>
      <c r="I44" s="227"/>
      <c r="J44" s="227"/>
      <c r="K44" s="227"/>
      <c r="L44" s="227"/>
      <c r="M44" s="1"/>
      <c r="N44" s="1"/>
      <c r="O44" s="1"/>
      <c r="P44" s="220"/>
      <c r="Q44" s="228"/>
      <c r="R44" s="228"/>
      <c r="S44" s="228"/>
      <c r="T44" s="219"/>
      <c r="U44" s="211"/>
    </row>
    <row r="45" spans="1:21" x14ac:dyDescent="0.35">
      <c r="A45" s="219"/>
      <c r="B45" s="220"/>
      <c r="C45" s="1"/>
      <c r="D45" s="225"/>
      <c r="E45" s="227"/>
      <c r="F45" s="227"/>
      <c r="G45" s="227"/>
      <c r="H45" s="227"/>
      <c r="I45" s="227"/>
      <c r="J45" s="227"/>
      <c r="K45" s="227"/>
      <c r="L45" s="227"/>
      <c r="M45" s="1"/>
      <c r="N45" s="1"/>
      <c r="O45" s="1"/>
      <c r="P45" s="220"/>
      <c r="Q45" s="228"/>
      <c r="R45" s="228"/>
      <c r="S45" s="228"/>
      <c r="T45" s="219"/>
      <c r="U45" s="211"/>
    </row>
    <row r="46" spans="1:21" x14ac:dyDescent="0.35">
      <c r="A46" s="219"/>
      <c r="B46" s="220"/>
      <c r="C46" s="1"/>
      <c r="D46" s="225"/>
      <c r="E46" s="227"/>
      <c r="F46" s="227"/>
      <c r="G46" s="227"/>
      <c r="H46" s="227"/>
      <c r="I46" s="227"/>
      <c r="J46" s="227"/>
      <c r="K46" s="227"/>
      <c r="L46" s="227"/>
      <c r="M46" s="1"/>
      <c r="N46" s="1"/>
      <c r="O46" s="1"/>
      <c r="P46" s="220"/>
      <c r="Q46" s="228"/>
      <c r="R46" s="228"/>
      <c r="S46" s="228"/>
      <c r="T46" s="219"/>
      <c r="U46" s="211"/>
    </row>
    <row r="47" spans="1:21" x14ac:dyDescent="0.35">
      <c r="A47" s="219"/>
      <c r="B47" s="220"/>
      <c r="C47" s="1"/>
      <c r="D47" s="225"/>
      <c r="E47" s="227"/>
      <c r="F47" s="227"/>
      <c r="G47" s="227"/>
      <c r="H47" s="227"/>
      <c r="I47" s="227"/>
      <c r="J47" s="227"/>
      <c r="K47" s="227"/>
      <c r="L47" s="227"/>
      <c r="M47" s="1"/>
      <c r="N47" s="1"/>
      <c r="O47" s="1"/>
      <c r="P47" s="220"/>
      <c r="Q47" s="228"/>
      <c r="R47" s="228"/>
      <c r="S47" s="228"/>
      <c r="T47" s="219"/>
      <c r="U47" s="211"/>
    </row>
    <row r="48" spans="1:21" x14ac:dyDescent="0.35">
      <c r="A48" s="219"/>
      <c r="B48" s="220"/>
      <c r="C48" s="1"/>
      <c r="D48" s="225"/>
      <c r="E48" s="227"/>
      <c r="F48" s="227"/>
      <c r="G48" s="227"/>
      <c r="H48" s="227"/>
      <c r="I48" s="227"/>
      <c r="J48" s="227"/>
      <c r="K48" s="227"/>
      <c r="L48" s="227"/>
      <c r="M48" s="1"/>
      <c r="N48" s="1"/>
      <c r="O48" s="1"/>
      <c r="P48" s="220"/>
      <c r="Q48" s="228"/>
      <c r="R48" s="228"/>
      <c r="S48" s="228"/>
      <c r="T48" s="219"/>
      <c r="U48" s="211"/>
    </row>
    <row r="49" spans="1:21" x14ac:dyDescent="0.35">
      <c r="A49" s="219"/>
      <c r="B49" s="220"/>
      <c r="C49" s="1"/>
      <c r="D49" s="1"/>
      <c r="E49" s="1"/>
      <c r="F49" s="1"/>
      <c r="G49" s="1"/>
      <c r="H49" s="1"/>
      <c r="I49" s="1"/>
      <c r="J49" s="1"/>
      <c r="K49" s="1"/>
      <c r="L49" s="1"/>
      <c r="M49" s="1"/>
      <c r="N49" s="1"/>
      <c r="O49" s="1"/>
      <c r="P49" s="220"/>
      <c r="Q49" s="228"/>
      <c r="R49" s="228"/>
      <c r="S49" s="228"/>
      <c r="T49" s="219"/>
      <c r="U49" s="211"/>
    </row>
    <row r="50" spans="1:21" ht="6" customHeight="1" x14ac:dyDescent="0.35">
      <c r="A50" s="219"/>
      <c r="B50" s="220"/>
      <c r="C50" s="226"/>
      <c r="D50" s="226"/>
      <c r="E50" s="226"/>
      <c r="F50" s="226"/>
      <c r="G50" s="226"/>
      <c r="H50" s="226"/>
      <c r="I50" s="226"/>
      <c r="J50" s="226"/>
      <c r="K50" s="226"/>
      <c r="L50" s="226"/>
      <c r="M50" s="226"/>
      <c r="N50" s="226"/>
      <c r="O50" s="226"/>
      <c r="P50" s="220"/>
      <c r="Q50" s="228"/>
      <c r="R50" s="228"/>
      <c r="S50" s="228"/>
      <c r="T50" s="219"/>
      <c r="U50" s="211"/>
    </row>
    <row r="51" spans="1:21" x14ac:dyDescent="0.35">
      <c r="A51" s="219"/>
      <c r="B51" s="219"/>
      <c r="C51" s="1"/>
      <c r="D51" s="1"/>
      <c r="E51" s="1"/>
      <c r="F51" s="1"/>
      <c r="G51" s="1"/>
      <c r="H51" s="1"/>
      <c r="I51" s="1"/>
      <c r="J51" s="1"/>
      <c r="K51" s="1"/>
      <c r="L51" s="1"/>
      <c r="M51" s="1"/>
      <c r="N51" s="1"/>
      <c r="O51" s="1"/>
      <c r="P51" s="219"/>
      <c r="Q51" s="228"/>
      <c r="R51" s="228"/>
      <c r="S51" s="228"/>
      <c r="T51" s="219"/>
      <c r="U51" s="211"/>
    </row>
    <row r="52" spans="1:21" hidden="1" x14ac:dyDescent="0.35">
      <c r="A52" s="211"/>
      <c r="B52" s="211"/>
      <c r="C52" s="178"/>
      <c r="D52" s="178"/>
      <c r="E52" s="178"/>
      <c r="F52" s="178"/>
      <c r="G52" s="178"/>
      <c r="H52" s="178"/>
      <c r="I52" s="178"/>
      <c r="J52" s="178"/>
      <c r="K52" s="178"/>
      <c r="L52" s="178"/>
      <c r="M52" s="178"/>
      <c r="N52" s="178"/>
      <c r="O52" s="178"/>
      <c r="P52" s="211"/>
      <c r="Q52" s="230"/>
      <c r="R52" s="230"/>
      <c r="S52" s="230"/>
      <c r="T52" s="211"/>
      <c r="U52" s="211"/>
    </row>
    <row r="53" spans="1:21" hidden="1" x14ac:dyDescent="0.35">
      <c r="A53" s="211"/>
      <c r="B53" s="211"/>
      <c r="C53" s="178"/>
      <c r="D53" s="178"/>
      <c r="E53" s="178"/>
      <c r="F53" s="178"/>
      <c r="G53" s="178"/>
      <c r="H53" s="178"/>
      <c r="I53" s="178"/>
      <c r="J53" s="178"/>
      <c r="K53" s="178"/>
      <c r="L53" s="178"/>
      <c r="M53" s="178"/>
      <c r="N53" s="178"/>
      <c r="O53" s="178"/>
      <c r="P53" s="211"/>
      <c r="Q53" s="230"/>
      <c r="R53" s="230"/>
      <c r="S53" s="230"/>
      <c r="T53" s="211"/>
      <c r="U53" s="211"/>
    </row>
    <row r="54" spans="1:21" hidden="1" x14ac:dyDescent="0.35">
      <c r="A54" s="211"/>
      <c r="B54" s="211"/>
      <c r="C54" s="178"/>
      <c r="D54" s="178"/>
      <c r="E54" s="178"/>
      <c r="F54" s="178"/>
      <c r="G54" s="178"/>
      <c r="H54" s="178"/>
      <c r="I54" s="178"/>
      <c r="J54" s="178"/>
      <c r="K54" s="178"/>
      <c r="L54" s="178"/>
      <c r="M54" s="178"/>
      <c r="N54" s="178"/>
      <c r="O54" s="178"/>
      <c r="P54" s="211"/>
      <c r="Q54" s="230"/>
      <c r="R54" s="230"/>
      <c r="S54" s="230"/>
      <c r="T54" s="211"/>
      <c r="U54" s="211"/>
    </row>
    <row r="55" spans="1:21" hidden="1" x14ac:dyDescent="0.35">
      <c r="A55" s="211"/>
      <c r="B55" s="211"/>
      <c r="C55" s="178"/>
      <c r="D55" s="178"/>
      <c r="E55" s="178"/>
      <c r="F55" s="178"/>
      <c r="G55" s="178"/>
      <c r="H55" s="178"/>
      <c r="I55" s="178"/>
      <c r="J55" s="178"/>
      <c r="K55" s="178"/>
      <c r="L55" s="178"/>
      <c r="M55" s="178"/>
      <c r="N55" s="178"/>
      <c r="O55" s="178"/>
      <c r="P55" s="211"/>
      <c r="Q55" s="230"/>
      <c r="R55" s="230"/>
      <c r="S55" s="230"/>
      <c r="T55" s="211"/>
      <c r="U55" s="211"/>
    </row>
    <row r="56" spans="1:21" hidden="1" x14ac:dyDescent="0.35">
      <c r="A56" s="211"/>
      <c r="B56" s="211"/>
      <c r="C56" s="178"/>
      <c r="D56" s="178"/>
      <c r="E56" s="178"/>
      <c r="F56" s="178"/>
      <c r="G56" s="178"/>
      <c r="H56" s="178"/>
      <c r="I56" s="178"/>
      <c r="J56" s="178"/>
      <c r="K56" s="178"/>
      <c r="L56" s="178"/>
      <c r="M56" s="178"/>
      <c r="N56" s="178"/>
      <c r="O56" s="178"/>
      <c r="P56" s="211"/>
      <c r="Q56" s="230"/>
      <c r="R56" s="230"/>
      <c r="S56" s="230"/>
      <c r="T56" s="211"/>
      <c r="U56" s="211"/>
    </row>
    <row r="57" spans="1:21" hidden="1" x14ac:dyDescent="0.35">
      <c r="A57" s="211"/>
      <c r="B57" s="211"/>
      <c r="C57" s="178"/>
      <c r="D57" s="178"/>
      <c r="E57" s="178"/>
      <c r="F57" s="178"/>
      <c r="G57" s="178"/>
      <c r="H57" s="178"/>
      <c r="I57" s="178"/>
      <c r="J57" s="178"/>
      <c r="K57" s="178"/>
      <c r="L57" s="178"/>
      <c r="M57" s="178"/>
      <c r="N57" s="178"/>
      <c r="O57" s="178"/>
      <c r="P57" s="211"/>
      <c r="Q57" s="230"/>
      <c r="R57" s="230"/>
      <c r="S57" s="230"/>
      <c r="T57" s="211"/>
      <c r="U57" s="211"/>
    </row>
    <row r="58" spans="1:21" hidden="1" x14ac:dyDescent="0.35">
      <c r="A58" s="211"/>
      <c r="B58" s="211"/>
      <c r="C58" s="178"/>
      <c r="D58" s="178"/>
      <c r="E58" s="178"/>
      <c r="F58" s="178"/>
      <c r="G58" s="178"/>
      <c r="H58" s="178"/>
      <c r="I58" s="178"/>
      <c r="J58" s="178"/>
      <c r="K58" s="178"/>
      <c r="L58" s="178"/>
      <c r="M58" s="178"/>
      <c r="N58" s="178"/>
      <c r="O58" s="178"/>
      <c r="P58" s="211"/>
      <c r="Q58" s="230"/>
      <c r="R58" s="230"/>
      <c r="S58" s="230"/>
      <c r="T58" s="211"/>
      <c r="U58" s="211"/>
    </row>
    <row r="59" spans="1:21" hidden="1" x14ac:dyDescent="0.35">
      <c r="A59" s="211"/>
      <c r="B59" s="211"/>
      <c r="C59" s="178"/>
      <c r="D59" s="178"/>
      <c r="E59" s="178"/>
      <c r="F59" s="178"/>
      <c r="G59" s="178"/>
      <c r="H59" s="178"/>
      <c r="I59" s="178"/>
      <c r="J59" s="178"/>
      <c r="K59" s="178"/>
      <c r="L59" s="178"/>
      <c r="M59" s="178"/>
      <c r="N59" s="178"/>
      <c r="O59" s="178"/>
      <c r="P59" s="211"/>
      <c r="Q59" s="230"/>
      <c r="R59" s="230"/>
      <c r="S59" s="230"/>
      <c r="T59" s="211"/>
      <c r="U59" s="211"/>
    </row>
    <row r="60" spans="1:21" hidden="1" x14ac:dyDescent="0.35">
      <c r="A60" s="211"/>
      <c r="B60" s="211"/>
      <c r="C60" s="178"/>
      <c r="D60" s="178"/>
      <c r="E60" s="178"/>
      <c r="F60" s="178"/>
      <c r="G60" s="178"/>
      <c r="H60" s="178"/>
      <c r="I60" s="178"/>
      <c r="J60" s="178"/>
      <c r="K60" s="178"/>
      <c r="L60" s="178"/>
      <c r="M60" s="178"/>
      <c r="N60" s="178"/>
      <c r="O60" s="178"/>
      <c r="P60" s="211"/>
      <c r="Q60" s="230"/>
      <c r="R60" s="230"/>
      <c r="S60" s="230"/>
      <c r="T60" s="211"/>
      <c r="U60" s="211"/>
    </row>
    <row r="61" spans="1:21" hidden="1" x14ac:dyDescent="0.35">
      <c r="A61" s="211"/>
      <c r="B61" s="211"/>
      <c r="C61" s="178"/>
      <c r="D61" s="178"/>
      <c r="E61" s="178"/>
      <c r="F61" s="178"/>
      <c r="G61" s="178"/>
      <c r="H61" s="178"/>
      <c r="I61" s="178"/>
      <c r="J61" s="178"/>
      <c r="K61" s="178"/>
      <c r="L61" s="178"/>
      <c r="M61" s="178"/>
      <c r="N61" s="178"/>
      <c r="O61" s="178"/>
      <c r="P61" s="211"/>
      <c r="Q61" s="230"/>
      <c r="R61" s="230"/>
      <c r="S61" s="230"/>
      <c r="T61" s="211"/>
      <c r="U61" s="211"/>
    </row>
    <row r="62" spans="1:21" ht="10.15" hidden="1" customHeight="1" x14ac:dyDescent="0.35">
      <c r="A62" s="211"/>
      <c r="B62" s="211"/>
      <c r="C62" s="178"/>
      <c r="D62" s="178"/>
      <c r="E62" s="178"/>
      <c r="F62" s="178"/>
      <c r="G62" s="178"/>
      <c r="H62" s="178"/>
      <c r="I62" s="178"/>
      <c r="J62" s="178"/>
      <c r="K62" s="178"/>
      <c r="L62" s="178"/>
      <c r="M62" s="178"/>
      <c r="N62" s="178"/>
      <c r="O62" s="178"/>
      <c r="P62" s="211"/>
      <c r="Q62" s="230"/>
      <c r="R62" s="230"/>
      <c r="S62" s="230"/>
      <c r="T62" s="211"/>
      <c r="U62" s="211"/>
    </row>
    <row r="63" spans="1:21" ht="10.9" hidden="1" customHeight="1" x14ac:dyDescent="0.35">
      <c r="A63" s="211"/>
      <c r="B63" s="211"/>
      <c r="C63" s="178"/>
      <c r="D63" s="178"/>
      <c r="E63" s="178"/>
      <c r="F63" s="178"/>
      <c r="G63" s="178"/>
      <c r="H63" s="178"/>
      <c r="I63" s="178"/>
      <c r="J63" s="178"/>
      <c r="K63" s="178"/>
      <c r="L63" s="178"/>
      <c r="M63" s="178"/>
      <c r="N63" s="178"/>
      <c r="O63" s="178"/>
      <c r="P63" s="211"/>
      <c r="Q63" s="230"/>
      <c r="R63" s="230"/>
      <c r="S63" s="230"/>
      <c r="T63" s="211"/>
      <c r="U63" s="211"/>
    </row>
    <row r="64" spans="1:21" ht="10.9" hidden="1" customHeight="1" x14ac:dyDescent="0.35">
      <c r="A64" s="211"/>
      <c r="B64" s="211"/>
      <c r="C64" s="178"/>
      <c r="D64" s="178"/>
      <c r="E64" s="178"/>
      <c r="F64" s="178"/>
      <c r="G64" s="178"/>
      <c r="H64" s="178"/>
      <c r="I64" s="178"/>
      <c r="J64" s="178"/>
      <c r="K64" s="178"/>
      <c r="L64" s="178"/>
      <c r="M64" s="178"/>
      <c r="N64" s="178"/>
      <c r="O64" s="178"/>
      <c r="P64" s="211"/>
      <c r="Q64" s="230"/>
      <c r="R64" s="230"/>
      <c r="S64" s="230"/>
      <c r="T64" s="211"/>
      <c r="U64" s="211"/>
    </row>
    <row r="65" spans="1:21" ht="10.9" hidden="1" customHeight="1" x14ac:dyDescent="0.35">
      <c r="A65" s="211"/>
      <c r="B65" s="211"/>
      <c r="C65" s="178"/>
      <c r="D65" s="178"/>
      <c r="E65" s="178"/>
      <c r="F65" s="178"/>
      <c r="G65" s="178"/>
      <c r="H65" s="178"/>
      <c r="I65" s="178"/>
      <c r="J65" s="178"/>
      <c r="K65" s="178"/>
      <c r="L65" s="178"/>
      <c r="M65" s="178"/>
      <c r="N65" s="178"/>
      <c r="O65" s="178"/>
      <c r="P65" s="211"/>
      <c r="Q65" s="230"/>
      <c r="R65" s="230"/>
      <c r="S65" s="230"/>
      <c r="T65" s="211"/>
      <c r="U65" s="211"/>
    </row>
    <row r="66" spans="1:21" ht="6" hidden="1" customHeight="1" x14ac:dyDescent="0.35">
      <c r="A66" s="211"/>
      <c r="B66" s="211"/>
      <c r="C66" s="178"/>
      <c r="D66" s="178"/>
      <c r="E66" s="178"/>
      <c r="F66" s="178"/>
      <c r="G66" s="178"/>
      <c r="H66" s="178"/>
      <c r="I66" s="178"/>
      <c r="J66" s="178"/>
      <c r="K66" s="178"/>
      <c r="L66" s="178"/>
      <c r="M66" s="178"/>
      <c r="N66" s="178"/>
      <c r="O66" s="178"/>
      <c r="P66" s="211"/>
      <c r="Q66" s="230"/>
      <c r="R66" s="230"/>
      <c r="S66" s="230"/>
      <c r="T66" s="211"/>
      <c r="U66" s="211"/>
    </row>
    <row r="67" spans="1:21" hidden="1" x14ac:dyDescent="0.35">
      <c r="A67" s="211"/>
      <c r="B67" s="211"/>
      <c r="C67" s="178"/>
      <c r="D67" s="178"/>
      <c r="E67" s="178"/>
      <c r="F67" s="178"/>
      <c r="G67" s="178"/>
      <c r="H67" s="178"/>
      <c r="I67" s="178"/>
      <c r="J67" s="178"/>
      <c r="K67" s="178"/>
      <c r="L67" s="178"/>
      <c r="M67" s="178"/>
      <c r="N67" s="178"/>
      <c r="O67" s="178"/>
      <c r="P67" s="211"/>
      <c r="Q67" s="230"/>
      <c r="R67" s="230"/>
      <c r="S67" s="230"/>
      <c r="T67" s="211"/>
      <c r="U67" s="211"/>
    </row>
    <row r="68" spans="1:21" ht="6.75" hidden="1" customHeight="1" x14ac:dyDescent="0.35">
      <c r="A68" s="211"/>
      <c r="B68" s="211"/>
      <c r="C68" s="178"/>
      <c r="D68" s="178"/>
      <c r="E68" s="178"/>
      <c r="F68" s="178"/>
      <c r="G68" s="178"/>
      <c r="H68" s="178"/>
      <c r="I68" s="178"/>
      <c r="J68" s="178"/>
      <c r="K68" s="178"/>
      <c r="L68" s="178"/>
      <c r="M68" s="178"/>
      <c r="N68" s="178"/>
      <c r="O68" s="178"/>
      <c r="P68" s="211"/>
      <c r="Q68" s="230"/>
      <c r="R68" s="230"/>
      <c r="S68" s="230"/>
      <c r="T68" s="211"/>
      <c r="U68" s="211"/>
    </row>
    <row r="69" spans="1:21" ht="8.25" hidden="1" customHeight="1" x14ac:dyDescent="0.35">
      <c r="A69" s="211"/>
      <c r="B69" s="211"/>
      <c r="C69" s="178"/>
      <c r="D69" s="178"/>
      <c r="E69" s="178"/>
      <c r="F69" s="178"/>
      <c r="G69" s="178"/>
      <c r="H69" s="178"/>
      <c r="I69" s="178"/>
      <c r="J69" s="178"/>
      <c r="K69" s="178"/>
      <c r="L69" s="178"/>
      <c r="M69" s="178"/>
      <c r="N69" s="178"/>
      <c r="O69" s="178"/>
      <c r="P69" s="211"/>
      <c r="Q69" s="230"/>
      <c r="R69" s="230"/>
      <c r="S69" s="230"/>
      <c r="T69" s="211"/>
      <c r="U69" s="211"/>
    </row>
    <row r="70" spans="1:21" hidden="1" x14ac:dyDescent="0.35">
      <c r="A70" s="211"/>
      <c r="B70" s="211"/>
      <c r="C70" s="178"/>
      <c r="D70" s="178"/>
      <c r="E70" s="178"/>
      <c r="F70" s="178"/>
      <c r="G70" s="178"/>
      <c r="H70" s="178"/>
      <c r="I70" s="178"/>
      <c r="J70" s="178"/>
      <c r="K70" s="178"/>
      <c r="L70" s="178"/>
      <c r="M70" s="178"/>
      <c r="N70" s="178"/>
      <c r="O70" s="178"/>
      <c r="P70" s="211"/>
      <c r="Q70" s="230"/>
      <c r="R70" s="230"/>
      <c r="S70" s="230"/>
      <c r="T70" s="211"/>
      <c r="U70" s="211"/>
    </row>
    <row r="71" spans="1:21" hidden="1" x14ac:dyDescent="0.35">
      <c r="A71" s="211"/>
      <c r="B71" s="211"/>
      <c r="C71" s="178"/>
      <c r="D71" s="178"/>
      <c r="E71" s="178"/>
      <c r="F71" s="178"/>
      <c r="G71" s="178"/>
      <c r="H71" s="178"/>
      <c r="I71" s="178"/>
      <c r="J71" s="178"/>
      <c r="K71" s="178"/>
      <c r="L71" s="178"/>
      <c r="M71" s="178"/>
      <c r="N71" s="178"/>
      <c r="O71" s="178"/>
      <c r="P71" s="211"/>
      <c r="Q71" s="230"/>
      <c r="R71" s="230"/>
      <c r="S71" s="230"/>
      <c r="T71" s="211"/>
      <c r="U71" s="211"/>
    </row>
    <row r="72" spans="1:21" hidden="1" x14ac:dyDescent="0.35">
      <c r="A72" s="211"/>
      <c r="B72" s="211"/>
      <c r="C72" s="178"/>
      <c r="D72" s="178"/>
      <c r="E72" s="178"/>
      <c r="F72" s="178"/>
      <c r="G72" s="178"/>
      <c r="H72" s="178"/>
      <c r="I72" s="178"/>
      <c r="J72" s="178"/>
      <c r="K72" s="178"/>
      <c r="L72" s="178"/>
      <c r="M72" s="178"/>
      <c r="N72" s="178"/>
      <c r="O72" s="178"/>
      <c r="P72" s="211"/>
      <c r="Q72" s="230"/>
      <c r="R72" s="230"/>
      <c r="S72" s="230"/>
      <c r="T72" s="211"/>
      <c r="U72" s="211"/>
    </row>
    <row r="73" spans="1:21" ht="15.75" hidden="1" customHeight="1" x14ac:dyDescent="0.35">
      <c r="A73" s="211"/>
      <c r="B73" s="211"/>
      <c r="C73" s="178"/>
      <c r="D73" s="178"/>
      <c r="E73" s="178"/>
      <c r="F73" s="178"/>
      <c r="G73" s="178"/>
      <c r="H73" s="178"/>
      <c r="I73" s="178"/>
      <c r="J73" s="178"/>
      <c r="K73" s="178"/>
      <c r="L73" s="178"/>
      <c r="M73" s="178"/>
      <c r="N73" s="178"/>
      <c r="O73" s="178"/>
      <c r="P73" s="211"/>
      <c r="Q73" s="230"/>
      <c r="R73" s="230"/>
      <c r="S73" s="230"/>
      <c r="T73" s="211"/>
      <c r="U73" s="211"/>
    </row>
    <row r="74" spans="1:21" ht="15" hidden="1" customHeight="1" x14ac:dyDescent="0.35">
      <c r="A74" s="211"/>
      <c r="B74" s="211"/>
      <c r="C74" s="178"/>
      <c r="D74" s="178"/>
      <c r="E74" s="178"/>
      <c r="F74" s="178"/>
      <c r="G74" s="178"/>
      <c r="H74" s="178"/>
      <c r="I74" s="178"/>
      <c r="J74" s="178"/>
      <c r="K74" s="178"/>
      <c r="L74" s="178"/>
      <c r="M74" s="178"/>
      <c r="N74" s="178"/>
      <c r="O74" s="178"/>
      <c r="P74" s="211"/>
      <c r="Q74" s="230"/>
      <c r="R74" s="230"/>
      <c r="S74" s="230"/>
      <c r="T74" s="211"/>
      <c r="U74" s="211"/>
    </row>
    <row r="75" spans="1:21" ht="15" hidden="1" customHeight="1" x14ac:dyDescent="0.35">
      <c r="A75" s="211"/>
      <c r="B75" s="211"/>
      <c r="C75" s="178"/>
      <c r="D75" s="178"/>
      <c r="E75" s="178"/>
      <c r="F75" s="178"/>
      <c r="G75" s="178"/>
      <c r="H75" s="178"/>
      <c r="I75" s="178"/>
      <c r="J75" s="178"/>
      <c r="K75" s="178"/>
      <c r="L75" s="178"/>
      <c r="M75" s="178"/>
      <c r="N75" s="178"/>
      <c r="O75" s="178"/>
      <c r="P75" s="211"/>
      <c r="Q75" s="230"/>
      <c r="R75" s="230"/>
      <c r="S75" s="230"/>
      <c r="T75" s="211"/>
      <c r="U75" s="211"/>
    </row>
    <row r="76" spans="1:21" ht="15" hidden="1" customHeight="1" x14ac:dyDescent="0.35">
      <c r="A76" s="211"/>
      <c r="B76" s="211"/>
      <c r="C76" s="178"/>
      <c r="D76" s="178"/>
      <c r="E76" s="178"/>
      <c r="F76" s="178"/>
      <c r="G76" s="178"/>
      <c r="H76" s="178"/>
      <c r="I76" s="178"/>
      <c r="J76" s="178"/>
      <c r="K76" s="178"/>
      <c r="L76" s="178"/>
      <c r="M76" s="178"/>
      <c r="N76" s="178"/>
      <c r="O76" s="178"/>
      <c r="P76" s="211"/>
      <c r="Q76" s="230"/>
      <c r="R76" s="230"/>
      <c r="S76" s="230"/>
      <c r="T76" s="211"/>
      <c r="U76" s="211"/>
    </row>
    <row r="77" spans="1:21" ht="15" hidden="1" customHeight="1" x14ac:dyDescent="0.35">
      <c r="A77" s="211"/>
      <c r="B77" s="211"/>
      <c r="C77" s="178"/>
      <c r="D77" s="178"/>
      <c r="E77" s="178"/>
      <c r="F77" s="178"/>
      <c r="G77" s="178"/>
      <c r="H77" s="178"/>
      <c r="I77" s="178"/>
      <c r="J77" s="178"/>
      <c r="K77" s="178"/>
      <c r="L77" s="178"/>
      <c r="M77" s="178"/>
      <c r="N77" s="178"/>
      <c r="O77" s="178"/>
      <c r="P77" s="211"/>
      <c r="Q77" s="230"/>
      <c r="R77" s="230"/>
      <c r="S77" s="230"/>
      <c r="T77" s="211"/>
      <c r="U77" s="211"/>
    </row>
    <row r="78" spans="1:21" hidden="1" x14ac:dyDescent="0.35">
      <c r="A78" s="211"/>
      <c r="B78" s="211"/>
      <c r="C78" s="178"/>
      <c r="D78" s="178"/>
      <c r="E78" s="178"/>
      <c r="F78" s="178"/>
      <c r="G78" s="178"/>
      <c r="H78" s="178"/>
      <c r="I78" s="178"/>
      <c r="J78" s="178"/>
      <c r="K78" s="178"/>
      <c r="L78" s="178"/>
      <c r="M78" s="178"/>
      <c r="N78" s="178"/>
      <c r="O78" s="178"/>
      <c r="P78" s="211"/>
      <c r="Q78" s="230"/>
      <c r="R78" s="230"/>
      <c r="S78" s="230"/>
      <c r="T78" s="211"/>
      <c r="U78" s="211"/>
    </row>
    <row r="79" spans="1:21" hidden="1" x14ac:dyDescent="0.35">
      <c r="A79" s="211"/>
      <c r="B79" s="211"/>
      <c r="C79" s="178"/>
      <c r="D79" s="178"/>
      <c r="E79" s="178"/>
      <c r="F79" s="178"/>
      <c r="G79" s="178"/>
      <c r="H79" s="178"/>
      <c r="I79" s="178"/>
      <c r="J79" s="178"/>
      <c r="K79" s="178"/>
      <c r="L79" s="178"/>
      <c r="M79" s="178"/>
      <c r="N79" s="178"/>
      <c r="O79" s="178"/>
      <c r="P79" s="211"/>
      <c r="Q79" s="230"/>
      <c r="R79" s="230"/>
      <c r="S79" s="230"/>
      <c r="T79" s="211"/>
      <c r="U79" s="211"/>
    </row>
    <row r="80" spans="1:21" hidden="1" x14ac:dyDescent="0.35">
      <c r="A80" s="211"/>
      <c r="B80" s="211"/>
      <c r="C80" s="178"/>
      <c r="D80" s="178"/>
      <c r="E80" s="178"/>
      <c r="F80" s="178"/>
      <c r="G80" s="178"/>
      <c r="H80" s="178"/>
      <c r="I80" s="178"/>
      <c r="J80" s="178"/>
      <c r="K80" s="178"/>
      <c r="L80" s="178"/>
      <c r="M80" s="178"/>
      <c r="N80" s="178"/>
      <c r="O80" s="178"/>
      <c r="P80" s="211"/>
      <c r="Q80" s="230"/>
      <c r="R80" s="230"/>
      <c r="S80" s="230"/>
      <c r="T80" s="211"/>
      <c r="U80" s="211"/>
    </row>
    <row r="81" spans="1:21" hidden="1" x14ac:dyDescent="0.35">
      <c r="A81" s="211"/>
      <c r="B81" s="211"/>
      <c r="C81" s="178"/>
      <c r="D81" s="178"/>
      <c r="E81" s="178"/>
      <c r="F81" s="178"/>
      <c r="G81" s="178"/>
      <c r="H81" s="178"/>
      <c r="I81" s="178"/>
      <c r="J81" s="178"/>
      <c r="K81" s="178"/>
      <c r="L81" s="178"/>
      <c r="M81" s="178"/>
      <c r="N81" s="178"/>
      <c r="O81" s="178"/>
      <c r="P81" s="211"/>
      <c r="Q81" s="230"/>
      <c r="R81" s="230"/>
      <c r="S81" s="230"/>
      <c r="T81" s="211"/>
      <c r="U81" s="211"/>
    </row>
    <row r="82" spans="1:21" hidden="1" x14ac:dyDescent="0.35">
      <c r="A82" s="211"/>
      <c r="B82" s="211"/>
      <c r="C82" s="178"/>
      <c r="D82" s="178"/>
      <c r="E82" s="178"/>
      <c r="F82" s="178"/>
      <c r="G82" s="178"/>
      <c r="H82" s="178"/>
      <c r="I82" s="178"/>
      <c r="J82" s="178"/>
      <c r="K82" s="178"/>
      <c r="L82" s="178"/>
      <c r="M82" s="178"/>
      <c r="N82" s="178"/>
      <c r="O82" s="178"/>
      <c r="P82" s="211"/>
      <c r="Q82" s="230"/>
      <c r="R82" s="230"/>
      <c r="S82" s="230"/>
      <c r="T82" s="211"/>
      <c r="U82" s="211"/>
    </row>
    <row r="83" spans="1:21" hidden="1" x14ac:dyDescent="0.35">
      <c r="A83" s="211"/>
      <c r="B83" s="211"/>
      <c r="C83" s="178"/>
      <c r="D83" s="178"/>
      <c r="E83" s="178"/>
      <c r="F83" s="178"/>
      <c r="G83" s="178"/>
      <c r="H83" s="178"/>
      <c r="I83" s="178"/>
      <c r="J83" s="178"/>
      <c r="K83" s="178"/>
      <c r="L83" s="178"/>
      <c r="M83" s="178"/>
      <c r="N83" s="178"/>
      <c r="O83" s="178"/>
      <c r="P83" s="211"/>
      <c r="Q83" s="230"/>
      <c r="R83" s="230"/>
      <c r="S83" s="230"/>
      <c r="T83" s="211"/>
      <c r="U83" s="211"/>
    </row>
    <row r="84" spans="1:21" hidden="1" x14ac:dyDescent="0.35">
      <c r="A84" s="211"/>
      <c r="B84" s="211"/>
      <c r="C84" s="178"/>
      <c r="D84" s="178"/>
      <c r="E84" s="178"/>
      <c r="F84" s="178"/>
      <c r="G84" s="178"/>
      <c r="H84" s="178"/>
      <c r="I84" s="178"/>
      <c r="J84" s="178"/>
      <c r="K84" s="178"/>
      <c r="L84" s="178"/>
      <c r="M84" s="178"/>
      <c r="N84" s="178"/>
      <c r="O84" s="178"/>
      <c r="P84" s="211"/>
      <c r="Q84" s="230"/>
      <c r="R84" s="230"/>
      <c r="S84" s="230"/>
      <c r="T84" s="211"/>
      <c r="U84" s="211"/>
    </row>
    <row r="85" spans="1:21" hidden="1" x14ac:dyDescent="0.35">
      <c r="A85" s="211"/>
      <c r="B85" s="211"/>
      <c r="C85" s="178"/>
      <c r="D85" s="178"/>
      <c r="E85" s="178"/>
      <c r="F85" s="178"/>
      <c r="G85" s="178"/>
      <c r="H85" s="178"/>
      <c r="I85" s="178"/>
      <c r="J85" s="178"/>
      <c r="K85" s="178"/>
      <c r="L85" s="178"/>
      <c r="M85" s="178"/>
      <c r="N85" s="178"/>
      <c r="O85" s="178"/>
      <c r="P85" s="211"/>
      <c r="Q85" s="230"/>
      <c r="R85" s="230"/>
      <c r="S85" s="230"/>
      <c r="T85" s="211"/>
      <c r="U85" s="211"/>
    </row>
    <row r="86" spans="1:21" hidden="1" x14ac:dyDescent="0.35">
      <c r="A86" s="211"/>
      <c r="B86" s="211"/>
      <c r="C86" s="178"/>
      <c r="D86" s="178"/>
      <c r="E86" s="178"/>
      <c r="F86" s="178"/>
      <c r="G86" s="178"/>
      <c r="H86" s="178"/>
      <c r="I86" s="178"/>
      <c r="J86" s="178"/>
      <c r="K86" s="178"/>
      <c r="L86" s="178"/>
      <c r="M86" s="178"/>
      <c r="N86" s="178"/>
      <c r="O86" s="178"/>
      <c r="P86" s="211"/>
      <c r="Q86" s="230"/>
      <c r="R86" s="230"/>
      <c r="S86" s="230"/>
      <c r="T86" s="211"/>
      <c r="U86" s="211"/>
    </row>
    <row r="87" spans="1:21" hidden="1" x14ac:dyDescent="0.35">
      <c r="C87" s="158"/>
      <c r="D87" s="158"/>
      <c r="E87" s="158"/>
      <c r="F87" s="158"/>
      <c r="G87" s="158"/>
      <c r="H87" s="158"/>
      <c r="I87" s="158"/>
      <c r="J87" s="158"/>
      <c r="K87" s="158"/>
      <c r="L87" s="158"/>
      <c r="M87" s="158"/>
      <c r="N87" s="158"/>
      <c r="O87" s="158"/>
    </row>
    <row r="88" spans="1:21" hidden="1" x14ac:dyDescent="0.35">
      <c r="C88" s="158"/>
      <c r="D88" s="158"/>
      <c r="E88" s="158"/>
      <c r="F88" s="158"/>
      <c r="G88" s="158"/>
      <c r="H88" s="158"/>
      <c r="I88" s="158"/>
      <c r="J88" s="158"/>
      <c r="K88" s="158"/>
      <c r="L88" s="158"/>
      <c r="M88" s="158"/>
      <c r="N88" s="158"/>
      <c r="O88" s="158"/>
    </row>
  </sheetData>
  <sheetProtection algorithmName="SHA-512" hashValue="Qd3ZT/TN5upOp5kkb7ltY9yfNvuTU0hdHdTXPDFSPppjzPcSFhQsyuOoTQxwjNwKQpz4Ft5lR2nHzEY0Ijtf4Q==" saltValue="ha7dG7e1AfeHZC90fKOnTA==" spinCount="100000" sheet="1" objects="1" scenarios="1"/>
  <mergeCells count="4">
    <mergeCell ref="D4:M4"/>
    <mergeCell ref="D5:M5"/>
    <mergeCell ref="E22:L22"/>
    <mergeCell ref="E37:L37"/>
  </mergeCells>
  <conditionalFormatting sqref="D7">
    <cfRule type="expression" dxfId="0" priority="178">
      <formula>#REF!="Yes"</formula>
    </cfRule>
  </conditionalFormatting>
  <pageMargins left="0.3" right="0.18" top="0.36" bottom="0.35" header="0.25" footer="0.25"/>
  <pageSetup scale="95"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B1"/>
  <sheetViews>
    <sheetView workbookViewId="0">
      <selection activeCell="A2" sqref="A2"/>
    </sheetView>
  </sheetViews>
  <sheetFormatPr defaultRowHeight="12.5" x14ac:dyDescent="0.25"/>
  <sheetData>
    <row r="1" spans="1:2" x14ac:dyDescent="0.25">
      <c r="A1" t="s">
        <v>0</v>
      </c>
      <c r="B1" t="s">
        <v>1</v>
      </c>
    </row>
  </sheetData>
  <phoneticPr fontId="3" type="noConversion"/>
  <pageMargins left="0.75" right="0.75" top="1" bottom="1" header="0.5" footer="0.5"/>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1EB3F97F4AE0E42B45E1938BBA1EB2E" ma:contentTypeVersion="12" ma:contentTypeDescription="Create a new document." ma:contentTypeScope="" ma:versionID="7c5b1271ee1ec7d88045a4c09582be70">
  <xsd:schema xmlns:xsd="http://www.w3.org/2001/XMLSchema" xmlns:xs="http://www.w3.org/2001/XMLSchema" xmlns:p="http://schemas.microsoft.com/office/2006/metadata/properties" xmlns:ns3="29b36ee5-1ca7-46dd-b5f0-cd38d455131d" xmlns:ns4="dbe9e2a1-d586-409c-905c-748d15c9a972" targetNamespace="http://schemas.microsoft.com/office/2006/metadata/properties" ma:root="true" ma:fieldsID="e8335a1bafc27793898155234b251767" ns3:_="" ns4:_="">
    <xsd:import namespace="29b36ee5-1ca7-46dd-b5f0-cd38d455131d"/>
    <xsd:import namespace="dbe9e2a1-d586-409c-905c-748d15c9a972"/>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9b36ee5-1ca7-46dd-b5f0-cd38d455131d"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be9e2a1-d586-409c-905c-748d15c9a972"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F9F968F-E0AD-42DD-A772-6572511C635C}">
  <ds:schemaRefs>
    <ds:schemaRef ds:uri="http://purl.org/dc/dcmitype/"/>
    <ds:schemaRef ds:uri="http://schemas.microsoft.com/office/infopath/2007/PartnerControls"/>
    <ds:schemaRef ds:uri="http://purl.org/dc/elements/1.1/"/>
    <ds:schemaRef ds:uri="http://schemas.microsoft.com/office/2006/metadata/properties"/>
    <ds:schemaRef ds:uri="dbe9e2a1-d586-409c-905c-748d15c9a972"/>
    <ds:schemaRef ds:uri="http://purl.org/dc/terms/"/>
    <ds:schemaRef ds:uri="http://schemas.microsoft.com/office/2006/documentManagement/types"/>
    <ds:schemaRef ds:uri="29b36ee5-1ca7-46dd-b5f0-cd38d455131d"/>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34CCFCF6-AA6C-4018-A70B-1090EAADEF03}">
  <ds:schemaRefs>
    <ds:schemaRef ds:uri="http://schemas.microsoft.com/sharepoint/v3/contenttype/forms"/>
  </ds:schemaRefs>
</ds:datastoreItem>
</file>

<file path=customXml/itemProps3.xml><?xml version="1.0" encoding="utf-8"?>
<ds:datastoreItem xmlns:ds="http://schemas.openxmlformats.org/officeDocument/2006/customXml" ds:itemID="{D6AD819A-8F0A-4977-9004-1B9B95B5A3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9b36ee5-1ca7-46dd-b5f0-cd38d455131d"/>
    <ds:schemaRef ds:uri="dbe9e2a1-d586-409c-905c-748d15c9a9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f52e3166-5357-4b2b-8d76-c296527191bc}" enabled="0" method="" siteId="{f52e3166-5357-4b2b-8d76-c296527191bc}"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4</vt:i4>
      </vt:variant>
    </vt:vector>
  </HeadingPairs>
  <TitlesOfParts>
    <vt:vector size="14" baseType="lpstr">
      <vt:lpstr>Disclaimer</vt:lpstr>
      <vt:lpstr>Instructions</vt:lpstr>
      <vt:lpstr>Input</vt:lpstr>
      <vt:lpstr>Calculations</vt:lpstr>
      <vt:lpstr>copyright_disclaimer</vt:lpstr>
      <vt:lpstr>Tax Calculator - Calculations</vt:lpstr>
      <vt:lpstr>Extension</vt:lpstr>
      <vt:lpstr>Tax Calculator - Extension</vt:lpstr>
      <vt:lpstr>Truth in Taxation</vt:lpstr>
      <vt:lpstr>InfoPage</vt:lpstr>
      <vt:lpstr>Calculations!Print_Area</vt:lpstr>
      <vt:lpstr>Extension!Print_Area</vt:lpstr>
      <vt:lpstr>Input!Print_Area</vt:lpstr>
      <vt:lpstr>'Truth in Taxation'!Print_Area</vt:lpstr>
    </vt:vector>
  </TitlesOfParts>
  <Company>School Business &amp; Support Services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Certificate of Tax Levy</dc:title>
  <dc:subject>Form</dc:subject>
  <dc:creator>DJH</dc:creator>
  <cp:lastModifiedBy>Jasen Pinkerton</cp:lastModifiedBy>
  <cp:lastPrinted>2025-08-07T18:14:18Z</cp:lastPrinted>
  <dcterms:created xsi:type="dcterms:W3CDTF">2001-07-03T19:36:57Z</dcterms:created>
  <dcterms:modified xsi:type="dcterms:W3CDTF">2025-11-06T21:52:21Z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0x010100C1EB3F97F4AE0E42B45E1938BBA1EB2E</vt:lpwstr>
  </property>
</Properties>
</file>